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<sst xmlns="http://schemas.openxmlformats.org/spreadsheetml/2006/main" count="112" uniqueCount="100">
  <si>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CK Hutchison Holdings Limited (0001.HK)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</si>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</sst>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0.021793589653788192</v>
      </c>
    </row>
    <row r="7" spans="1:2" x14ac:dyDescent="0.25">
      <c r="A7" t="s">
        <v>5</v>
      </c>
      <c r="B7" s="6">
        <v>0.1477166958600445</v>
      </c>
    </row>
    <row r="8" spans="1:2" x14ac:dyDescent="0.25">
      <c r="A8" t="s">
        <v>6</v>
      </c>
      <c r="B8" s="6">
        <v>0.16221195916245468</v>
      </c>
    </row>
    <row r="9" spans="1:2" x14ac:dyDescent="0.25">
      <c r="A9" t="s">
        <v>7</v>
      </c>
      <c r="B9" s="6">
        <v>0.1444816313203444</v>
      </c>
    </row>
    <row r="10" spans="1:2" x14ac:dyDescent="0.25">
      <c r="A10" t="s">
        <v>8</v>
      </c>
      <c r="B10" s="6">
        <v>0.08603397238831881</v>
      </c>
    </row>
    <row r="11" spans="1:2" x14ac:dyDescent="0.25">
      <c r="A11" t="s">
        <v>9</v>
      </c>
      <c r="B11" s="6">
        <v>0.6090380792170057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5.958600094296739</v>
      </c>
    </row>
    <row r="14" spans="1:3" x14ac:dyDescent="0.25">
      <c r="A14" t="s">
        <v>12</v>
      </c>
      <c r="B14" s="6">
        <v>0.0571416298126778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0.84255</v>
      </c>
      <c r="C19" s="8" t="s">
        <v>19</v>
      </c>
    </row>
    <row r="20" spans="1:2" x14ac:dyDescent="0.25">
      <c r="A20" t="s">
        <v>20</v>
      </c>
      <c r="B20" s="10">
        <f>B17+B19*B18</f>
        <v>0.09097850000000002</v>
      </c>
    </row>
    <row r="21" spans="1:3" x14ac:dyDescent="0.25">
      <c r="A21" t="s">
        <v>21</v>
      </c>
      <c r="B21" s="6">
        <v>0.03681549180849999</v>
      </c>
      <c r="C21" s="8" t="s">
        <v>22</v>
      </c>
    </row>
    <row r="22" spans="1:2" x14ac:dyDescent="0.25">
      <c r="A22" t="s">
        <v>23</v>
      </c>
      <c r="B22" s="11">
        <v>260060020736</v>
      </c>
    </row>
    <row r="23" spans="1:2" x14ac:dyDescent="0.25">
      <c r="A23" t="s">
        <v>24</v>
      </c>
      <c r="B23" s="11">
        <v>334611000000</v>
      </c>
    </row>
    <row r="24" spans="1:2" x14ac:dyDescent="0.25">
      <c r="A24" t="s">
        <v>25</v>
      </c>
      <c r="B24" s="10">
        <f>B22/(B22+B23)</f>
        <v>0.4373174606930305</v>
      </c>
    </row>
    <row r="25" spans="1:2" x14ac:dyDescent="0.25">
      <c r="A25" t="s">
        <v>26</v>
      </c>
      <c r="B25" s="10">
        <f>1-B24</f>
        <v>0.5626825393069694</v>
      </c>
    </row>
    <row r="26" spans="1:2" x14ac:dyDescent="0.25">
      <c r="A26" t="s">
        <v>27</v>
      </c>
      <c r="B26" s="12">
        <f>B24*B20+B25*B21*(1-B8)</f>
        <v>0.0571416298126778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280036000000</v>
      </c>
      <c r="C29" s="8" t="s">
        <v>30</v>
      </c>
    </row>
    <row r="30" spans="1:2" x14ac:dyDescent="0.25">
      <c r="A30" t="s">
        <v>31</v>
      </c>
      <c r="B30" s="11">
        <v>190863000000</v>
      </c>
    </row>
    <row r="31" spans="1:2" x14ac:dyDescent="0.25">
      <c r="A31" t="s">
        <v>32</v>
      </c>
      <c r="B31" s="13">
        <v>3830044500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0.021793589653788192</v>
      </c>
      <c r="C5" s="10">
        <f>Assumptions!B6</f>
        <v>0.021793589653788192</v>
      </c>
      <c r="D5" s="10">
        <f>Assumptions!B6</f>
        <v>0.021793589653788192</v>
      </c>
      <c r="E5" s="10">
        <f>Assumptions!B6</f>
        <v>0.021793589653788192</v>
      </c>
      <c r="F5" s="10">
        <f>Assumptions!B6</f>
        <v>0.021793589653788192</v>
      </c>
    </row>
    <row r="6" spans="1:6" x14ac:dyDescent="0.25">
      <c r="A6" t="s">
        <v>43</v>
      </c>
      <c r="B6" s="18">
        <f>Assumptions!B29*(1+B5)</f>
        <v>286138989672.2882</v>
      </c>
      <c r="C6" s="18">
        <f>B6*(1+C5)</f>
        <v>292374985397.1556</v>
      </c>
      <c r="D6" s="18">
        <f>C6*(1+D5)</f>
        <v>298746885853.93353</v>
      </c>
      <c r="E6" s="18">
        <f>D6*(1+E5)</f>
        <v>305257652894.58124</v>
      </c>
      <c r="F6" s="18">
        <f>E6*(1+F5)</f>
        <v>311910312920.4443</v>
      </c>
    </row>
    <row r="7" spans="1:6" x14ac:dyDescent="0.25">
      <c r="A7" t="s">
        <v>5</v>
      </c>
      <c r="B7" s="10">
        <f>Assumptions!B7</f>
        <v>0.1477166958600445</v>
      </c>
      <c r="C7" s="10">
        <f>Assumptions!B7</f>
        <v>0.1477166958600445</v>
      </c>
      <c r="D7" s="10">
        <f>Assumptions!B7</f>
        <v>0.1477166958600445</v>
      </c>
      <c r="E7" s="10">
        <f>Assumptions!B7</f>
        <v>0.1477166958600445</v>
      </c>
      <c r="F7" s="10">
        <f>Assumptions!B7</f>
        <v>0.1477166958600445</v>
      </c>
    </row>
    <row r="8" spans="1:6" x14ac:dyDescent="0.25">
      <c r="A8" t="s">
        <v>44</v>
      </c>
      <c r="B8" s="18">
        <f>B6*B7</f>
        <v>42267506111.12181</v>
      </c>
      <c r="C8" s="18">
        <f>C6*C7</f>
        <v>43188666794.99658</v>
      </c>
      <c r="D8" s="18">
        <f>D6*D7</f>
        <v>44129902876.82093</v>
      </c>
      <c r="E8" s="18">
        <f>E6*E7</f>
        <v>45091651871.57989</v>
      </c>
      <c r="F8" s="18">
        <f>F6*F7</f>
        <v>46074360829.28057</v>
      </c>
    </row>
    <row r="9" spans="1:6" x14ac:dyDescent="0.25">
      <c r="A9" t="s">
        <v>45</v>
      </c>
      <c r="B9" s="18">
        <f>B8*(1-Assumptions!B8)</f>
        <v>35411211135.92571</v>
      </c>
      <c r="C9" s="18">
        <f>C8*(1-Assumptions!B8)</f>
        <v>36182948540.565735</v>
      </c>
      <c r="D9" s="18">
        <f>D8*(1-Assumptions!B8)</f>
        <v>36971504873.522964</v>
      </c>
      <c r="E9" s="18">
        <f>E8*(1-Assumptions!B8)</f>
        <v>37777246679.619545</v>
      </c>
      <c r="F9" s="18">
        <f>F8*(1-Assumptions!B8)</f>
        <v>38600548492.00511</v>
      </c>
    </row>
    <row r="10" spans="1:6" x14ac:dyDescent="0.25">
      <c r="A10" t="s">
        <v>46</v>
      </c>
      <c r="B10" s="18">
        <f>B6*Assumptions!B9</f>
        <v>41341828012.207375</v>
      </c>
      <c r="C10" s="18">
        <f>C6*Assumptions!B9</f>
        <v>42242814847.44291</v>
      </c>
      <c r="D10" s="18">
        <f>D6*Assumptions!B9</f>
        <v>43163437420.049034</v>
      </c>
      <c r="E10" s="18">
        <f>E6*Assumptions!B9</f>
        <v>44104123663.228546</v>
      </c>
      <c r="F10" s="18">
        <f>F6*Assumptions!B9</f>
        <v>45065310836.38488</v>
      </c>
    </row>
    <row r="11" spans="1:6" x14ac:dyDescent="0.25">
      <c r="A11" t="s">
        <v>47</v>
      </c>
      <c r="B11" s="18">
        <f>-B6*Assumptions!B10</f>
        <v>-24617673936.687084</v>
      </c>
      <c r="C11" s="18">
        <f>-C6*Assumptions!B10</f>
        <v>-25154181420.693996</v>
      </c>
      <c r="D11" s="18">
        <f>-D6*Assumptions!B10</f>
        <v>-25702381328.65355</v>
      </c>
      <c r="E11" s="18">
        <f>-E6*Assumptions!B10</f>
        <v>-26262528480.45541</v>
      </c>
      <c r="F11" s="18">
        <f>-F6*Assumptions!B10</f>
        <v>-26834883249.429382</v>
      </c>
    </row>
    <row r="12" spans="1:6" x14ac:dyDescent="0.25">
      <c r="A12" t="s">
        <v>48</v>
      </c>
      <c r="B12" s="18">
        <f>-(B6-Assumptions!B29)*Assumptions!B11</f>
        <v>-3716953107.4916334</v>
      </c>
      <c r="C12" s="18">
        <f>-(C6-B6)*Assumptions!B11</f>
        <v>-3797958858.2786827</v>
      </c>
      <c r="D12" s="18">
        <f>-(D6-C6)*Assumptions!B11</f>
        <v>-3880730015.158006</v>
      </c>
      <c r="E12" s="18">
        <f>-(E6-D6)*Assumptions!B11</f>
        <v>-3965305052.665467</v>
      </c>
      <c r="F12" s="18">
        <f>-(F6-E6)*Assumptions!B11</f>
        <v>-4051723283.8353796</v>
      </c>
    </row>
    <row r="13" spans="1:6" x14ac:dyDescent="0.25">
      <c r="A13" s="19" t="s">
        <v>49</v>
      </c>
      <c r="B13" s="20">
        <f>B9+B10+B11+B12</f>
        <v>48418412103.95437</v>
      </c>
      <c r="C13" s="20">
        <f>C9+C10+C11+C12</f>
        <v>49473623109.03595</v>
      </c>
      <c r="D13" s="20">
        <f>D9+D10+D11+D12</f>
        <v>50551830949.76044</v>
      </c>
      <c r="E13" s="20">
        <f>E9+E10+E11+E12</f>
        <v>51653536809.7272</v>
      </c>
      <c r="F13" s="20">
        <f>F9+F10+F11+F12</f>
        <v>52779252795.12522</v>
      </c>
    </row>
    <row r="14" spans="1:6" x14ac:dyDescent="0.25">
      <c r="A14" t="s">
        <v>50</v>
      </c>
      <c r="B14" s="21">
        <f>1/(1+Assumptions!$B$26)^(1-0.5*Assumptions!$B$32)</f>
        <v>0.9725980897467976</v>
      </c>
      <c r="C14" s="21">
        <f>1/(1+Assumptions!$B$26)^(2-0.5*Assumptions!$B$32)</f>
        <v>0.9200262881702417</v>
      </c>
      <c r="D14" s="21">
        <f>1/(1+Assumptions!$B$26)^(3-0.5*Assumptions!$B$32)</f>
        <v>0.8702961478617273</v>
      </c>
      <c r="E14" s="21">
        <f>1/(1+Assumptions!$B$26)^(4-0.5*Assumptions!$B$32)</f>
        <v>0.8232540686302752</v>
      </c>
      <c r="F14" s="21">
        <f>1/(1+Assumptions!$B$26)^(5-0.5*Assumptions!$B$32)</f>
        <v>0.778754752829243</v>
      </c>
    </row>
    <row r="15" spans="1:6" x14ac:dyDescent="0.25">
      <c r="A15" s="19" t="s">
        <v>51</v>
      </c>
      <c r="B15" s="20">
        <f>B13*B14</f>
        <v>47091655120.87924</v>
      </c>
      <c r="C15" s="20">
        <f>C13*C14</f>
        <v>45517033831.339836</v>
      </c>
      <c r="D15" s="20">
        <f>D13*D14</f>
        <v>43995063742.93375</v>
      </c>
      <c r="E15" s="20">
        <f>E13*E14</f>
        <v>42523984337.7516</v>
      </c>
      <c r="F15" s="20">
        <f>F13*F14</f>
        <v>41102093964.97987</v>
      </c>
    </row>
    <row r="17" spans="1:2" x14ac:dyDescent="0.25">
      <c r="A17" s="22" t="s">
        <v>52</v>
      </c>
      <c r="B17" s="23">
        <f>SUM(B15:F15)</f>
        <v>220229830997.88428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52779252795.12522</v>
      </c>
    </row>
    <row r="5" spans="1:2" x14ac:dyDescent="0.25">
      <c r="A5" t="s">
        <v>56</v>
      </c>
      <c r="B5" s="18">
        <f>IF(Assumptions!$B$33=0,B4,B4-Forecast!F11-Forecast!F10-Forecast!F12)</f>
        <v>46119668740.02584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0.43750939694851587</v>
      </c>
    </row>
    <row r="7" spans="1:2" x14ac:dyDescent="0.25">
      <c r="A7" t="s">
        <v>58</v>
      </c>
      <c r="B7" s="18">
        <f>-MAX(Forecast!F9,0)*B6</f>
        <v>-20177788457.914024</v>
      </c>
    </row>
    <row r="8" spans="1:2" x14ac:dyDescent="0.25">
      <c r="A8" t="s">
        <v>59</v>
      </c>
      <c r="B8" s="18">
        <f>IF(OR(Assumptions!$B$33=0,Assumptions!B12&lt;=0),B5,MAX(B5+B7,0))</f>
        <v>25941880282.111816</v>
      </c>
    </row>
    <row r="9" spans="1:2" x14ac:dyDescent="0.25">
      <c r="A9" t="s">
        <v>60</v>
      </c>
      <c r="B9" s="18">
        <f>B8*(1+Assumptions!B12)/(Assumptions!B26-Assumptions!B12)</f>
        <v>827289326774.475</v>
      </c>
    </row>
    <row r="10" spans="1:2" x14ac:dyDescent="0.25">
      <c r="A10" t="s">
        <v>61</v>
      </c>
      <c r="B10" s="18">
        <f>B9/(1+Assumptions!B26)^(5-0.5*Assumptions!B32)</f>
        <v>644255495190.5271</v>
      </c>
    </row>
    <row r="11" spans="1:2" x14ac:dyDescent="0.25">
      <c r="A11" t="s">
        <v>62</v>
      </c>
      <c r="B11" s="18">
        <f>Forecast!B17+B10</f>
        <v>864485326188.4114</v>
      </c>
    </row>
    <row r="12" spans="1:2" x14ac:dyDescent="0.25">
      <c r="A12" t="s">
        <v>63</v>
      </c>
      <c r="B12" s="18">
        <f>-Assumptions!B30</f>
        <v>-190863000000</v>
      </c>
    </row>
    <row r="13" spans="1:2" x14ac:dyDescent="0.25">
      <c r="A13" t="s">
        <v>64</v>
      </c>
      <c r="B13" s="18">
        <f>B11+B12</f>
        <v>673622326188.4114</v>
      </c>
    </row>
    <row r="14" spans="1:2" x14ac:dyDescent="0.25">
      <c r="A14" s="19" t="s">
        <v>65</v>
      </c>
      <c r="B14" s="24">
        <f>B13/Assumptions!B31</f>
        <v>175.87845942479555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91139671665.66545</v>
      </c>
    </row>
    <row r="18" spans="1:2" x14ac:dyDescent="0.25">
      <c r="A18" t="s">
        <v>60</v>
      </c>
      <c r="B18" s="18">
        <f>B17*Assumptions!B13</f>
        <v>543064856181.208</v>
      </c>
    </row>
    <row r="19" spans="1:2" x14ac:dyDescent="0.25">
      <c r="A19" t="s">
        <v>61</v>
      </c>
      <c r="B19" s="18">
        <f>B18/(1+Assumptions!B26)^(5-0.5*Assumptions!B32)</f>
        <v>422914337845.645</v>
      </c>
    </row>
    <row r="20" spans="1:2" x14ac:dyDescent="0.25">
      <c r="A20" t="s">
        <v>62</v>
      </c>
      <c r="B20" s="18">
        <f>Forecast!B17+B19</f>
        <v>643144168843.5293</v>
      </c>
    </row>
    <row r="21" spans="1:2" x14ac:dyDescent="0.25">
      <c r="A21" t="s">
        <v>63</v>
      </c>
      <c r="B21" s="18">
        <f>-Assumptions!B30</f>
        <v>-190863000000</v>
      </c>
    </row>
    <row r="22" spans="1:2" x14ac:dyDescent="0.25">
      <c r="A22" t="s">
        <v>64</v>
      </c>
      <c r="B22" s="18">
        <f>B20+B21</f>
        <v>452281168843.5293</v>
      </c>
    </row>
    <row r="23" spans="1:2" x14ac:dyDescent="0.25">
      <c r="A23" s="19" t="s">
        <v>65</v>
      </c>
      <c r="B23" s="25">
        <f>B22/Assumptions!B31</f>
        <v>118.08770598971613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67.9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175.87845942479555</v>
      </c>
    </row>
    <row r="29" spans="1:2" x14ac:dyDescent="0.25">
      <c r="A29" s="19" t="s">
        <v>73</v>
      </c>
      <c r="B29" s="12">
        <f>B28/B26-1</f>
        <v>1.5902571343857956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0.037142</v>
      </c>
      <c r="B5" s="31">
        <v>312.99166271678064</v>
      </c>
      <c r="C5" s="31">
        <v>331.3981460032731</v>
      </c>
      <c r="D5" s="31">
        <v>363.9705719845955</v>
      </c>
      <c r="E5" s="31">
        <v>440.4609905658795</v>
      </c>
      <c r="F5" s="31">
        <v>868.4183695339716</v>
      </c>
    </row>
    <row r="6" spans="1:6" x14ac:dyDescent="0.25">
      <c r="A6" s="30">
        <v>0.047142</v>
      </c>
      <c r="B6" s="31">
        <v>219.74198684361582</v>
      </c>
      <c r="C6" s="31">
        <v>220.7800391890465</v>
      </c>
      <c r="D6" s="31">
        <v>221.81809153447716</v>
      </c>
      <c r="E6" s="31">
        <v>222.85614387990785</v>
      </c>
      <c r="F6" s="31">
        <v>223.89419622533853</v>
      </c>
    </row>
    <row r="7" spans="1:6" x14ac:dyDescent="0.25">
      <c r="A7" s="30">
        <v>0.057142</v>
      </c>
      <c r="B7" s="31">
        <v>174.23598625354302</v>
      </c>
      <c r="C7" s="31">
        <v>175.0565209550957</v>
      </c>
      <c r="D7" s="32">
        <v>175.8770556566483</v>
      </c>
      <c r="E7" s="31">
        <v>176.697590358201</v>
      </c>
      <c r="F7" s="31">
        <v>177.51812505975366</v>
      </c>
    </row>
    <row r="8" spans="1:6" x14ac:dyDescent="0.25">
      <c r="A8" s="30">
        <v>0.067142</v>
      </c>
      <c r="B8" s="31">
        <v>142.2503305479709</v>
      </c>
      <c r="C8" s="31">
        <v>142.91968804440882</v>
      </c>
      <c r="D8" s="31">
        <v>143.58904554084666</v>
      </c>
      <c r="E8" s="31">
        <v>144.25840303728455</v>
      </c>
      <c r="F8" s="31">
        <v>144.9277605337224</v>
      </c>
    </row>
    <row r="9" spans="1:6" x14ac:dyDescent="0.25">
      <c r="A9" s="30">
        <v>0.077142</v>
      </c>
      <c r="B9" s="31">
        <v>118.52880064803841</v>
      </c>
      <c r="C9" s="31">
        <v>119.08744208765307</v>
      </c>
      <c r="D9" s="31">
        <v>119.64608352726766</v>
      </c>
      <c r="E9" s="31">
        <v>120.20472496688228</v>
      </c>
      <c r="F9" s="31">
        <v>120.7633664064969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280036000000</v>
      </c>
      <c r="C5" s="18">
        <v>281351000000</v>
      </c>
      <c r="D5" s="18">
        <v>275575000000</v>
      </c>
      <c r="E5" s="18">
        <v>262497000000</v>
      </c>
      <c r="F5" s="8" t="s">
        <v>84</v>
      </c>
    </row>
    <row r="6" spans="1:6" x14ac:dyDescent="0.25">
      <c r="A6" t="s">
        <v>44</v>
      </c>
      <c r="B6" s="18">
        <v>37285000000</v>
      </c>
      <c r="C6" s="18">
        <v>42084000000</v>
      </c>
      <c r="D6" s="18">
        <v>42752000000</v>
      </c>
      <c r="E6" s="18">
        <v>40164000000</v>
      </c>
      <c r="F6" s="8" t="s">
        <v>85</v>
      </c>
    </row>
    <row r="7" spans="1:6" x14ac:dyDescent="0.25">
      <c r="A7" t="s">
        <v>86</v>
      </c>
      <c r="B7" s="18">
        <v>38391000000</v>
      </c>
      <c r="C7" s="18">
        <v>40460000000</v>
      </c>
      <c r="D7" s="18">
        <v>40083000000</v>
      </c>
      <c r="E7" s="18">
        <v>39788000000</v>
      </c>
      <c r="F7" s="8" t="s">
        <v>87</v>
      </c>
    </row>
    <row r="8" spans="1:6" x14ac:dyDescent="0.25">
      <c r="A8" t="s">
        <v>88</v>
      </c>
      <c r="B8" s="18">
        <v>20835000000</v>
      </c>
      <c r="C8" s="18">
        <v>22350000000</v>
      </c>
      <c r="D8" s="18">
        <v>25301000000</v>
      </c>
      <c r="E8" s="18">
        <v>25852000000</v>
      </c>
      <c r="F8" s="8" t="s">
        <v>89</v>
      </c>
    </row>
    <row r="9" spans="1:6" x14ac:dyDescent="0.25">
      <c r="A9" t="s">
        <v>90</v>
      </c>
      <c r="B9" s="18">
        <v>-3722000000</v>
      </c>
      <c r="C9" s="18">
        <v>2983000000</v>
      </c>
      <c r="D9" s="18">
        <v>7965000000</v>
      </c>
      <c r="E9" s="18">
        <v>4580000000</v>
      </c>
      <c r="F9" s="8" t="s">
        <v>91</v>
      </c>
    </row>
    <row r="10" spans="1:6" x14ac:dyDescent="0.25">
      <c r="A10" t="s">
        <v>92</v>
      </c>
      <c r="B10" s="18">
        <v>334611000000</v>
      </c>
      <c r="C10" s="18">
        <v>324731000000</v>
      </c>
      <c r="D10" s="18">
        <v>343528000000</v>
      </c>
      <c r="E10" s="18">
        <v>353424000000</v>
      </c>
      <c r="F10" s="8" t="s">
        <v>93</v>
      </c>
    </row>
    <row r="11" spans="1:6" x14ac:dyDescent="0.25">
      <c r="A11" t="s">
        <v>94</v>
      </c>
      <c r="B11" s="18">
        <v>143748000000</v>
      </c>
      <c r="C11" s="18">
        <v>121303000000</v>
      </c>
      <c r="D11" s="18">
        <v>127323000000</v>
      </c>
      <c r="E11" s="18">
        <v>138085000000</v>
      </c>
      <c r="F11" s="8" t="s">
        <v>95</v>
      </c>
    </row>
    <row r="12" spans="1:6" x14ac:dyDescent="0.25">
      <c r="A12" t="s">
        <v>32</v>
      </c>
      <c r="B12" s="34">
        <v>3830044500</v>
      </c>
      <c r="C12" s="34">
        <v>3830044500</v>
      </c>
      <c r="D12" s="34">
        <v>3830044500</v>
      </c>
      <c r="E12" s="34">
        <v>3834106390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