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<sst xmlns="http://schemas.openxmlformats.org/spreadsheetml/2006/main" count="113" uniqueCount="101">
  <si>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CLP Holdings Limited (0002.HK)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</si>
  <si>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</si>
  <si>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</si>
  <si>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</si>
  <si>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</si>
  <si>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</si>
  <si>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</si>
  <si>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</si>
  <si>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</si>
  <si>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</si>
  <si>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</si>
  <si>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</si>
  <si>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</si>
  <si>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</si>
  <si>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</si>
  <si>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</si>
  <si>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</si>
  <si>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</si>
  <si>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</si>
  <si>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</si>
  <si>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</si>
  <si>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</si>
  <si>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</si>
  <si>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</si>
  <si>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</si>
  <si>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</si>
  <si>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</si>
  <si>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</si>
  <si>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</si>
  <si>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</si>
  <si>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</si>
  <si>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</si>
  <si>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</si>
  <si>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</si>
  <si>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</si>
  <si>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</si>
  <si>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</si>
  <si>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</si>
  <si>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</si>
  <si>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</si>
  <si>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</si>
  <si>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</si>
  <si>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</si>
  <si>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</si>
  <si>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</si>
  <si>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</si>
  <si>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</si>
  <si>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</si>
  <si>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</si>
  <si>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</si>
  <si>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</si>
  <si>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</si>
  <si>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</si>
  <si>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</si>
  <si>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</si>
  <si>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</si>
  <si>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</si>
  <si>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</si>
  <si>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</si>
  <si>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</si>
  <si>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</si>
  <si>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</si>
  <si>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</si>
  <si>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</si>
  <si>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</si>
  <si>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</si>
  <si>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</si>
  <si>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</si>
  <si>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</si>
  <si>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</si>
  <si>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</si>
  <si>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</si>
  <si>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</si>
  <si>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</si>
  <si>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</si>
  <si>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</si>
  <si>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</si>
  <si>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</si>
  <si>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</si>
  <si>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</si>
  <si>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</si>
  <si>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</si>
  <si>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</si>
  <si>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</si>
  <si>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</si>
  <si>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</si>
  <si>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</si>
  <si>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</si>
  <si>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</si>
  <si>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</si>
  <si>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</si>
  <si>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</si>
  <si>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</si>
  <si>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</si>
  <si>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</si>
  <si>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</si>
  <si>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</si>
  <si>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</si>
  <si>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16.9% of revenue against depreciation of 10.0%.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</si>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</sst>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-0.04375616762557266</v>
      </c>
    </row>
    <row r="7" spans="1:2" x14ac:dyDescent="0.25">
      <c r="A7" t="s">
        <v>5</v>
      </c>
      <c r="B7" s="6">
        <v>0.13682796162932895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0.0998570421744184</v>
      </c>
    </row>
    <row r="10" spans="1:2" x14ac:dyDescent="0.25">
      <c r="A10" t="s">
        <v>8</v>
      </c>
      <c r="B10" s="6">
        <v>0.16899112839819774</v>
      </c>
    </row>
    <row r="11" spans="1:2" x14ac:dyDescent="0.25">
      <c r="A11" t="s">
        <v>9</v>
      </c>
      <c r="B11" s="6">
        <v>0.2824427480916031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9.94702693332288</v>
      </c>
    </row>
    <row r="14" spans="1:3" x14ac:dyDescent="0.25">
      <c r="A14" t="s">
        <v>12</v>
      </c>
      <c r="B14" s="6">
        <v>0.0698469134058729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0.70788</v>
      </c>
      <c r="C19" s="8" t="s">
        <v>19</v>
      </c>
    </row>
    <row r="20" spans="1:2" x14ac:dyDescent="0.25">
      <c r="A20" t="s">
        <v>20</v>
      </c>
      <c r="B20" s="10">
        <f>B17+B19*B18</f>
        <v>0.0815516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195673604096</v>
      </c>
    </row>
    <row r="23" spans="1:2" x14ac:dyDescent="0.25">
      <c r="A23" t="s">
        <v>24</v>
      </c>
      <c r="B23" s="11">
        <v>61992000000</v>
      </c>
    </row>
    <row r="24" spans="1:2" x14ac:dyDescent="0.25">
      <c r="A24" t="s">
        <v>25</v>
      </c>
      <c r="B24" s="10">
        <f>B22/(B22+B23)</f>
        <v>0.7594090984029701</v>
      </c>
    </row>
    <row r="25" spans="1:2" x14ac:dyDescent="0.25">
      <c r="A25" t="s">
        <v>26</v>
      </c>
      <c r="B25" s="10">
        <f>1-B24</f>
        <v>0.2405909015970299</v>
      </c>
    </row>
    <row r="26" spans="1:2" x14ac:dyDescent="0.25">
      <c r="A26" t="s">
        <v>27</v>
      </c>
      <c r="B26" s="12">
        <f>B24*B20+B25*B21*(1-B8)</f>
        <v>0.06835961591999229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88018000000</v>
      </c>
      <c r="C29" s="8" t="s">
        <v>30</v>
      </c>
    </row>
    <row r="30" spans="1:2" x14ac:dyDescent="0.25">
      <c r="A30" t="s">
        <v>31</v>
      </c>
      <c r="B30" s="11">
        <v>58085000000</v>
      </c>
    </row>
    <row r="31" spans="1:2" x14ac:dyDescent="0.25">
      <c r="A31" t="s">
        <v>32</v>
      </c>
      <c r="B31" s="13">
        <v>2526451000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-0.04375616762557266</v>
      </c>
      <c r="C5" s="10">
        <f>Assumptions!B6</f>
        <v>-0.04375616762557266</v>
      </c>
      <c r="D5" s="10">
        <f>Assumptions!B6</f>
        <v>-0.04375616762557266</v>
      </c>
      <c r="E5" s="10">
        <f>Assumptions!B6</f>
        <v>-0.04375616762557266</v>
      </c>
      <c r="F5" s="10">
        <f>Assumptions!B6</f>
        <v>-0.04375616762557266</v>
      </c>
    </row>
    <row r="6" spans="1:6" x14ac:dyDescent="0.25">
      <c r="A6" t="s">
        <v>43</v>
      </c>
      <c r="B6" s="18">
        <f>Assumptions!B29*(1+B5)</f>
        <v>84166669637.93234</v>
      </c>
      <c r="C6" s="18">
        <f>B6*(1+C5)</f>
        <v>80483858732.76878</v>
      </c>
      <c r="D6" s="18">
        <f>C6*(1+D5)</f>
        <v>76962193518.90485</v>
      </c>
      <c r="E6" s="18">
        <f>D6*(1+E5)</f>
        <v>73594622878.45988</v>
      </c>
      <c r="F6" s="18">
        <f>E6*(1+F5)</f>
        <v>70374404223.44919</v>
      </c>
    </row>
    <row r="7" spans="1:6" x14ac:dyDescent="0.25">
      <c r="A7" t="s">
        <v>5</v>
      </c>
      <c r="B7" s="10">
        <f>Assumptions!B7</f>
        <v>0.13682796162932895</v>
      </c>
      <c r="C7" s="10">
        <f>Assumptions!B7</f>
        <v>0.13682796162932895</v>
      </c>
      <c r="D7" s="10">
        <f>Assumptions!B7</f>
        <v>0.13682796162932895</v>
      </c>
      <c r="E7" s="10">
        <f>Assumptions!B7</f>
        <v>0.13682796162932895</v>
      </c>
      <c r="F7" s="10">
        <f>Assumptions!B7</f>
        <v>0.13682796162932895</v>
      </c>
    </row>
    <row r="8" spans="1:6" x14ac:dyDescent="0.25">
      <c r="A8" t="s">
        <v>44</v>
      </c>
      <c r="B8" s="18">
        <f>B6*B7</f>
        <v>11516353843.687412</v>
      </c>
      <c r="C8" s="18">
        <f>C6*C7</f>
        <v>11012442334.467619</v>
      </c>
      <c r="D8" s="18">
        <f>D6*D7</f>
        <v>10530580061.713701</v>
      </c>
      <c r="E8" s="18">
        <f>E6*E7</f>
        <v>10069802235.338844</v>
      </c>
      <c r="F8" s="18">
        <f>F6*F7</f>
        <v>9629186280.772991</v>
      </c>
    </row>
    <row r="9" spans="1:6" x14ac:dyDescent="0.25">
      <c r="A9" t="s">
        <v>45</v>
      </c>
      <c r="B9" s="18">
        <f>B8*(1-Assumptions!B8)</f>
        <v>9616155459.478989</v>
      </c>
      <c r="C9" s="18">
        <f>C8*(1-Assumptions!B8)</f>
        <v>9195389349.280462</v>
      </c>
      <c r="D9" s="18">
        <f>D8*(1-Assumptions!B8)</f>
        <v>8793034351.530941</v>
      </c>
      <c r="E9" s="18">
        <f>E8*(1-Assumptions!B8)</f>
        <v>8408284866.507935</v>
      </c>
      <c r="F9" s="18">
        <f>F8*(1-Assumptions!B8)</f>
        <v>8040370544.445447</v>
      </c>
    </row>
    <row r="10" spans="1:6" x14ac:dyDescent="0.25">
      <c r="A10" t="s">
        <v>46</v>
      </c>
      <c r="B10" s="18">
        <f>B6*Assumptions!B9</f>
        <v>8404634679.715351</v>
      </c>
      <c r="C10" s="18">
        <f>C6*Assumptions!B9</f>
        <v>8036880075.838025</v>
      </c>
      <c r="D10" s="18">
        <f>D6*Assumptions!B9</f>
        <v>7685217004.053032</v>
      </c>
      <c r="E10" s="18">
        <f>E6*Assumptions!B9</f>
        <v>7348941360.584786</v>
      </c>
      <c r="F10" s="18">
        <f>F6*Assumptions!B9</f>
        <v>7027379850.540534</v>
      </c>
    </row>
    <row r="11" spans="1:6" x14ac:dyDescent="0.25">
      <c r="A11" t="s">
        <v>47</v>
      </c>
      <c r="B11" s="18">
        <f>-B6*Assumptions!B10</f>
        <v>-14223420475.632517</v>
      </c>
      <c r="C11" s="18">
        <f>-C6*Assumptions!B10</f>
        <v>-13601058105.091738</v>
      </c>
      <c r="D11" s="18">
        <f>-D6*Assumptions!B10</f>
        <v>-13005927926.760191</v>
      </c>
      <c r="E11" s="18">
        <f>-E6*Assumptions!B10</f>
        <v>-12436838364.270756</v>
      </c>
      <c r="F11" s="18">
        <f>-F6*Assumptions!B10</f>
        <v>-11892649980.071571</v>
      </c>
    </row>
    <row r="12" spans="1:6" x14ac:dyDescent="0.25">
      <c r="A12" t="s">
        <v>48</v>
      </c>
      <c r="B12" s="18">
        <f>-(B6-Assumptions!B29)*Assumptions!B11</f>
        <v>1087780331.2710178</v>
      </c>
      <c r="C12" s="18">
        <f>-(C6-B6)*Assumptions!B11</f>
        <v>1040183232.7561198</v>
      </c>
      <c r="D12" s="18">
        <f>-(D6-C6)*Assumptions!B11</f>
        <v>994668800.8623335</v>
      </c>
      <c r="E12" s="18">
        <f>-(E6-D6)*Assumptions!B11</f>
        <v>951145906.0798748</v>
      </c>
      <c r="F12" s="18">
        <f>-(F6-E6)*Assumptions!B11</f>
        <v>909527406.377067</v>
      </c>
    </row>
    <row r="13" spans="1:6" x14ac:dyDescent="0.25">
      <c r="A13" s="19" t="s">
        <v>49</v>
      </c>
      <c r="B13" s="20">
        <f>B9+B10+B11+B12</f>
        <v>4885149994.832841</v>
      </c>
      <c r="C13" s="20">
        <f>C9+C10+C11+C12</f>
        <v>4671394552.78287</v>
      </c>
      <c r="D13" s="20">
        <f>D9+D10+D11+D12</f>
        <v>4466992229.686115</v>
      </c>
      <c r="E13" s="20">
        <f>E9+E10+E11+E12</f>
        <v>4271533768.9018393</v>
      </c>
      <c r="F13" s="20">
        <f>F9+F10+F11+F12</f>
        <v>4084627821.2914767</v>
      </c>
    </row>
    <row r="14" spans="1:6" x14ac:dyDescent="0.25">
      <c r="A14" t="s">
        <v>50</v>
      </c>
      <c r="B14" s="21">
        <f>1/(1+Assumptions!$B$26)^(1-0.5*Assumptions!$B$32)</f>
        <v>0.9674783791656167</v>
      </c>
      <c r="C14" s="21">
        <f>1/(1+Assumptions!$B$26)^(2-0.5*Assumptions!$B$32)</f>
        <v>0.9055737082803302</v>
      </c>
      <c r="D14" s="21">
        <f>1/(1+Assumptions!$B$26)^(3-0.5*Assumptions!$B$32)</f>
        <v>0.8476300440283088</v>
      </c>
      <c r="E14" s="21">
        <f>1/(1+Assumptions!$B$26)^(4-0.5*Assumptions!$B$32)</f>
        <v>0.793393939079579</v>
      </c>
      <c r="F14" s="21">
        <f>1/(1+Assumptions!$B$26)^(5-0.5*Assumptions!$B$32)</f>
        <v>0.7426281630800567</v>
      </c>
    </row>
    <row r="15" spans="1:6" x14ac:dyDescent="0.25">
      <c r="A15" s="19" t="s">
        <v>51</v>
      </c>
      <c r="B15" s="20">
        <f>B13*B14</f>
        <v>4726276998.981798</v>
      </c>
      <c r="C15" s="20">
        <f>C13*C14</f>
        <v>4230292088.004119</v>
      </c>
      <c r="D15" s="20">
        <f>D13*D14</f>
        <v>3786356820.322955</v>
      </c>
      <c r="E15" s="20">
        <f>E13*E14</f>
        <v>3389009002.8204703</v>
      </c>
      <c r="F15" s="20">
        <f>F13*F14</f>
        <v>3033359655.7913837</v>
      </c>
    </row>
    <row r="17" spans="1:2" x14ac:dyDescent="0.25">
      <c r="A17" s="22" t="s">
        <v>52</v>
      </c>
      <c r="B17" s="23">
        <f>SUM(B15:F15)</f>
        <v>19165294565.920727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4084627821.2914767</v>
      </c>
    </row>
    <row r="5" spans="1:2" x14ac:dyDescent="0.25">
      <c r="A5" t="s">
        <v>56</v>
      </c>
      <c r="B5" s="18">
        <f>IF(Assumptions!$B$33=0,B4,B4-Forecast!F11-Forecast!F10-Forecast!F12)</f>
        <v>8492371198.052305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0.3579256230655132</v>
      </c>
    </row>
    <row r="7" spans="1:2" x14ac:dyDescent="0.25">
      <c r="A7" t="s">
        <v>58</v>
      </c>
      <c r="B7" s="18">
        <f>-MAX(Forecast!F9,0)*B6</f>
        <v>-3039637252.36649</v>
      </c>
    </row>
    <row r="8" spans="1:2" x14ac:dyDescent="0.25">
      <c r="A8" t="s">
        <v>59</v>
      </c>
      <c r="B8" s="18">
        <f>IF(OR(Assumptions!$B$33=0,Assumptions!B12&lt;=0),B5,MAX(B5+B7,0))</f>
        <v>5452733945.685816</v>
      </c>
    </row>
    <row r="9" spans="1:2" x14ac:dyDescent="0.25">
      <c r="A9" t="s">
        <v>60</v>
      </c>
      <c r="B9" s="18">
        <f>B8*(1+Assumptions!B12)/(Assumptions!B26-Assumptions!B12)</f>
        <v>128899949313.22618</v>
      </c>
    </row>
    <row r="10" spans="1:2" x14ac:dyDescent="0.25">
      <c r="A10" t="s">
        <v>61</v>
      </c>
      <c r="B10" s="18">
        <f>B9/(1+Assumptions!B26)^(5-0.5*Assumptions!B32)</f>
        <v>95724732579.59358</v>
      </c>
    </row>
    <row r="11" spans="1:2" x14ac:dyDescent="0.25">
      <c r="A11" t="s">
        <v>62</v>
      </c>
      <c r="B11" s="18">
        <f>Forecast!B17+B10</f>
        <v>114890027145.51431</v>
      </c>
    </row>
    <row r="12" spans="1:2" x14ac:dyDescent="0.25">
      <c r="A12" t="s">
        <v>63</v>
      </c>
      <c r="B12" s="18">
        <f>-Assumptions!B30</f>
        <v>-58085000000</v>
      </c>
    </row>
    <row r="13" spans="1:2" x14ac:dyDescent="0.25">
      <c r="A13" t="s">
        <v>64</v>
      </c>
      <c r="B13" s="18">
        <f>B11+B12</f>
        <v>56805027145.51431</v>
      </c>
    </row>
    <row r="14" spans="1:2" x14ac:dyDescent="0.25">
      <c r="A14" s="19" t="s">
        <v>65</v>
      </c>
      <c r="B14" s="24">
        <f>B13/Assumptions!B31</f>
        <v>22.48411987626687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16656566131.313526</v>
      </c>
    </row>
    <row r="18" spans="1:2" x14ac:dyDescent="0.25">
      <c r="A18" t="s">
        <v>60</v>
      </c>
      <c r="B18" s="18">
        <f>B17*Assumptions!B13</f>
        <v>165683311924.84933</v>
      </c>
    </row>
    <row r="19" spans="1:2" x14ac:dyDescent="0.25">
      <c r="A19" t="s">
        <v>61</v>
      </c>
      <c r="B19" s="18">
        <f>B18/(1+Assumptions!B26)^(5-0.5*Assumptions!B32)</f>
        <v>123041093587.77092</v>
      </c>
    </row>
    <row r="20" spans="1:2" x14ac:dyDescent="0.25">
      <c r="A20" t="s">
        <v>62</v>
      </c>
      <c r="B20" s="18">
        <f>Forecast!B17+B19</f>
        <v>142206388153.69165</v>
      </c>
    </row>
    <row r="21" spans="1:2" x14ac:dyDescent="0.25">
      <c r="A21" t="s">
        <v>63</v>
      </c>
      <c r="B21" s="18">
        <f>-Assumptions!B30</f>
        <v>-58085000000</v>
      </c>
    </row>
    <row r="22" spans="1:2" x14ac:dyDescent="0.25">
      <c r="A22" t="s">
        <v>64</v>
      </c>
      <c r="B22" s="18">
        <f>B20+B21</f>
        <v>84121388153.69165</v>
      </c>
    </row>
    <row r="23" spans="1:2" x14ac:dyDescent="0.25">
      <c r="A23" s="19" t="s">
        <v>65</v>
      </c>
      <c r="B23" s="25">
        <f>B22/Assumptions!B31</f>
        <v>33.29626743352301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77.45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22.48411987626687</v>
      </c>
    </row>
    <row r="29" spans="1:2" x14ac:dyDescent="0.25">
      <c r="A29" s="19" t="s">
        <v>73</v>
      </c>
      <c r="B29" s="12">
        <f>B28/B26-1</f>
        <v>-0.7096950306485879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0.04836</v>
      </c>
      <c r="B5" s="31">
        <v>49.8648905807893</v>
      </c>
      <c r="C5" s="31">
        <v>54.69174000038889</v>
      </c>
      <c r="D5" s="31">
        <v>61.5015918827049</v>
      </c>
      <c r="E5" s="31">
        <v>71.91454627897623</v>
      </c>
      <c r="F5" s="31">
        <v>89.97600271834442</v>
      </c>
    </row>
    <row r="6" spans="1:6" x14ac:dyDescent="0.25">
      <c r="A6" s="30">
        <v>0.05836</v>
      </c>
      <c r="B6" s="31">
        <v>32.62860461212399</v>
      </c>
      <c r="C6" s="31">
        <v>34.17759552302675</v>
      </c>
      <c r="D6" s="31">
        <v>36.13503121002273</v>
      </c>
      <c r="E6" s="31">
        <v>38.71694381843625</v>
      </c>
      <c r="F6" s="31">
        <v>42.32432452212273</v>
      </c>
    </row>
    <row r="7" spans="1:6" x14ac:dyDescent="0.25">
      <c r="A7" s="30">
        <v>0.06836</v>
      </c>
      <c r="B7" s="31">
        <v>21.88094706437146</v>
      </c>
      <c r="C7" s="31">
        <v>22.16964681691606</v>
      </c>
      <c r="D7" s="32">
        <v>22.48371674644247</v>
      </c>
      <c r="E7" s="31">
        <v>22.833077412250137</v>
      </c>
      <c r="F7" s="31">
        <v>23.233596951156166</v>
      </c>
    </row>
    <row r="8" spans="1:6" x14ac:dyDescent="0.25">
      <c r="A8" s="30">
        <v>0.07836</v>
      </c>
      <c r="B8" s="31">
        <v>15.442835568789121</v>
      </c>
      <c r="C8" s="31">
        <v>15.595576945574255</v>
      </c>
      <c r="D8" s="31">
        <v>15.748318322359388</v>
      </c>
      <c r="E8" s="31">
        <v>15.901059699144517</v>
      </c>
      <c r="F8" s="31">
        <v>16.053801075929652</v>
      </c>
    </row>
    <row r="9" spans="1:6" x14ac:dyDescent="0.25">
      <c r="A9" s="30">
        <v>0.08836</v>
      </c>
      <c r="B9" s="31">
        <v>10.662142077663793</v>
      </c>
      <c r="C9" s="31">
        <v>10.792085952324063</v>
      </c>
      <c r="D9" s="31">
        <v>10.922029826984328</v>
      </c>
      <c r="E9" s="31">
        <v>11.051973701644604</v>
      </c>
      <c r="F9" s="31">
        <v>11.181917576304876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88018000000</v>
      </c>
      <c r="C5" s="18">
        <v>90964000000</v>
      </c>
      <c r="D5" s="18">
        <v>87169000000</v>
      </c>
      <c r="E5" s="18">
        <v>100662000000</v>
      </c>
      <c r="F5" s="8" t="s">
        <v>84</v>
      </c>
    </row>
    <row r="6" spans="1:6" x14ac:dyDescent="0.25">
      <c r="A6" t="s">
        <v>44</v>
      </c>
      <c r="B6" s="18">
        <v>15793000000</v>
      </c>
      <c r="C6" s="18">
        <v>17486000000</v>
      </c>
      <c r="D6" s="18">
        <v>12472000000</v>
      </c>
      <c r="E6" s="18">
        <v>3279000000</v>
      </c>
      <c r="F6" s="8" t="s">
        <v>85</v>
      </c>
    </row>
    <row r="7" spans="1:6" x14ac:dyDescent="0.25">
      <c r="A7" t="s">
        <v>86</v>
      </c>
      <c r="B7" s="18">
        <v>9718000000</v>
      </c>
      <c r="C7" s="18">
        <v>9276000000</v>
      </c>
      <c r="D7" s="18">
        <v>8594000000</v>
      </c>
      <c r="E7" s="18">
        <v>8904000000</v>
      </c>
      <c r="F7" s="8" t="s">
        <v>87</v>
      </c>
    </row>
    <row r="8" spans="1:6" x14ac:dyDescent="0.25">
      <c r="A8" t="s">
        <v>88</v>
      </c>
      <c r="B8" s="18">
        <v>16754000000</v>
      </c>
      <c r="C8" s="18">
        <v>16303000000</v>
      </c>
      <c r="D8" s="18">
        <v>13173000000</v>
      </c>
      <c r="E8" s="18">
        <v>15630000000</v>
      </c>
      <c r="F8" s="8" t="s">
        <v>89</v>
      </c>
    </row>
    <row r="9" spans="1:6" x14ac:dyDescent="0.25">
      <c r="A9" t="s">
        <v>90</v>
      </c>
      <c r="B9" s="18">
        <v>-2227000000</v>
      </c>
      <c r="C9" s="18">
        <v>-1230000000</v>
      </c>
      <c r="D9" s="18">
        <v>-3811000000</v>
      </c>
      <c r="E9" s="18">
        <v>3487000000</v>
      </c>
      <c r="F9" s="8" t="s">
        <v>91</v>
      </c>
    </row>
    <row r="10" spans="1:6" x14ac:dyDescent="0.25">
      <c r="A10" t="s">
        <v>92</v>
      </c>
      <c r="B10" s="18">
        <v>61992000000</v>
      </c>
      <c r="C10" s="18">
        <v>65302000000</v>
      </c>
      <c r="D10" s="18">
        <v>57715000000</v>
      </c>
      <c r="E10" s="18">
        <v>59446000000</v>
      </c>
      <c r="F10" s="8" t="s">
        <v>93</v>
      </c>
    </row>
    <row r="11" spans="1:6" x14ac:dyDescent="0.25">
      <c r="A11" t="s">
        <v>94</v>
      </c>
      <c r="B11" s="18">
        <v>3907000000</v>
      </c>
      <c r="C11" s="18">
        <v>4978000000</v>
      </c>
      <c r="D11" s="18">
        <v>5188000000</v>
      </c>
      <c r="E11" s="18">
        <v>4253000000</v>
      </c>
      <c r="F11" s="8" t="s">
        <v>95</v>
      </c>
    </row>
    <row r="12" spans="1:6" x14ac:dyDescent="0.25">
      <c r="A12" t="s">
        <v>32</v>
      </c>
      <c r="B12" s="34">
        <v>2526451000</v>
      </c>
      <c r="C12" s="34">
        <v>2526451000</v>
      </c>
      <c r="D12" s="34">
        <v>2526451000</v>
      </c>
      <c r="E12" s="34">
        <v>2526451000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