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<sst xmlns="http://schemas.openxmlformats.org/spreadsheetml/2006/main" count="113" uniqueCount="101">
  <si>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Hong Kong and China Gas Company Limited (0003.HK)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</si>
  <si>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</si>
  <si>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</si>
  <si>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</si>
  <si>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</si>
  <si>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</si>
  <si>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</si>
  <si>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</si>
  <si>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</si>
  <si>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</si>
  <si>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</si>
  <si>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</si>
  <si>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</si>
  <si>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</si>
  <si>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</si>
  <si>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</si>
  <si>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</si>
  <si>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</si>
  <si>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</si>
  <si>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</si>
  <si>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</si>
  <si>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</si>
  <si>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</si>
  <si>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</si>
  <si>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</si>
  <si>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</si>
  <si>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</si>
  <si>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</si>
  <si>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</si>
  <si>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</si>
  <si>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</si>
  <si>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</si>
  <si>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</si>
  <si>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</si>
  <si>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</si>
  <si>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</si>
  <si>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</si>
  <si>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</si>
  <si>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</si>
  <si>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</si>
  <si>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</si>
  <si>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</si>
  <si>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</si>
  <si>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</si>
  <si>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</si>
  <si>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</si>
  <si>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</si>
  <si>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</si>
  <si>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</si>
  <si>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</si>
  <si>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</si>
  <si>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</si>
  <si>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</si>
  <si>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</si>
  <si>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</si>
  <si>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</si>
  <si>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</si>
  <si>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</si>
  <si>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</si>
  <si>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</si>
  <si>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</si>
  <si>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</si>
  <si>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</si>
  <si>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</si>
  <si>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</si>
  <si>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</si>
  <si>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</si>
  <si>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</si>
  <si>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</si>
  <si>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</si>
  <si>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</si>
  <si>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</si>
  <si>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</si>
  <si>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</si>
  <si>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</si>
  <si>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</si>
  <si>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</si>
  <si>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</si>
  <si>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</si>
  <si>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</si>
  <si>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</si>
  <si>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</si>
  <si>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</si>
  <si>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</si>
  <si>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</si>
  <si>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</si>
  <si>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</si>
  <si>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</si>
  <si>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</si>
  <si>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</si>
  <si>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</si>
  <si>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</si>
  <si>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</si>
  <si>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</si>
  <si>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</si>
  <si>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</si>
  <si>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</si>
  <si>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</si>
  <si>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12.4% of revenue against depreciation of 6.4%.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</si>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</sst>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-0.037640368281665615</v>
      </c>
    </row>
    <row r="7" spans="1:2" x14ac:dyDescent="0.25">
      <c r="A7" t="s">
        <v>5</v>
      </c>
      <c r="B7" s="6">
        <v>0.1442814108256371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0.06361374347152035</v>
      </c>
    </row>
    <row r="10" spans="1:2" x14ac:dyDescent="0.25">
      <c r="A10" t="s">
        <v>8</v>
      </c>
      <c r="B10" s="6">
        <v>0.12389393062470458</v>
      </c>
    </row>
    <row r="11" spans="1:2" x14ac:dyDescent="0.25">
      <c r="A11" t="s">
        <v>9</v>
      </c>
      <c r="B11" s="6">
        <v>0.14679459223724378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15.524934214997906</v>
      </c>
    </row>
    <row r="14" spans="1:3" x14ac:dyDescent="0.25">
      <c r="A14" t="s">
        <v>12</v>
      </c>
      <c r="B14" s="6">
        <v>0.06448906506332919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0.70788</v>
      </c>
      <c r="C19" s="8" t="s">
        <v>19</v>
      </c>
    </row>
    <row r="20" spans="1:2" x14ac:dyDescent="0.25">
      <c r="A20" t="s">
        <v>20</v>
      </c>
      <c r="B20" s="10">
        <f>B17+B19*B18</f>
        <v>0.0815516</v>
      </c>
    </row>
    <row r="21" spans="1:3" x14ac:dyDescent="0.25">
      <c r="A21" t="s">
        <v>21</v>
      </c>
      <c r="B21" s="6">
        <v>0.0329158824683156</v>
      </c>
      <c r="C21" s="8" t="s">
        <v>22</v>
      </c>
    </row>
    <row r="22" spans="1:2" x14ac:dyDescent="0.25">
      <c r="A22" t="s">
        <v>23</v>
      </c>
      <c r="B22" s="11">
        <v>132298489856</v>
      </c>
    </row>
    <row r="23" spans="1:2" x14ac:dyDescent="0.25">
      <c r="A23" t="s">
        <v>24</v>
      </c>
      <c r="B23" s="11">
        <v>61002300000</v>
      </c>
    </row>
    <row r="24" spans="1:2" x14ac:dyDescent="0.25">
      <c r="A24" t="s">
        <v>25</v>
      </c>
      <c r="B24" s="10">
        <f>B22/(B22+B23)</f>
        <v>0.6844177406339423</v>
      </c>
    </row>
    <row r="25" spans="1:2" x14ac:dyDescent="0.25">
      <c r="A25" t="s">
        <v>26</v>
      </c>
      <c r="B25" s="10">
        <f>1-B24</f>
        <v>0.31558225936605766</v>
      </c>
    </row>
    <row r="26" spans="1:2" x14ac:dyDescent="0.25">
      <c r="A26" t="s">
        <v>27</v>
      </c>
      <c r="B26" s="12">
        <f>B24*B20+B25*B21*(1-B8)</f>
        <v>0.06448906506332919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54326300000</v>
      </c>
      <c r="C29" s="8" t="s">
        <v>30</v>
      </c>
    </row>
    <row r="30" spans="1:2" x14ac:dyDescent="0.25">
      <c r="A30" t="s">
        <v>31</v>
      </c>
      <c r="B30" s="11">
        <v>52991600000</v>
      </c>
    </row>
    <row r="31" spans="1:2" x14ac:dyDescent="0.25">
      <c r="A31" t="s">
        <v>32</v>
      </c>
      <c r="B31" s="13">
        <v>18659870098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-0.037640368281665615</v>
      </c>
      <c r="C5" s="10">
        <f>Assumptions!B6</f>
        <v>-0.037640368281665615</v>
      </c>
      <c r="D5" s="10">
        <f>Assumptions!B6</f>
        <v>-0.037640368281665615</v>
      </c>
      <c r="E5" s="10">
        <f>Assumptions!B6</f>
        <v>-0.037640368281665615</v>
      </c>
      <c r="F5" s="10">
        <f>Assumptions!B6</f>
        <v>-0.037640368281665615</v>
      </c>
    </row>
    <row r="6" spans="1:6" x14ac:dyDescent="0.25">
      <c r="A6" t="s">
        <v>43</v>
      </c>
      <c r="B6" s="18">
        <f>Assumptions!B29*(1+B5)</f>
        <v>52281438060.61975</v>
      </c>
      <c r="C6" s="18">
        <f>B6*(1+C5)</f>
        <v>50313545477.72293</v>
      </c>
      <c r="D6" s="18">
        <f>C6*(1+D5)</f>
        <v>48419725096.38511</v>
      </c>
      <c r="E6" s="18">
        <f>D6*(1+E5)</f>
        <v>46597188811.660164</v>
      </c>
      <c r="F6" s="18">
        <f>E6*(1+F5)</f>
        <v>44843253463.898964</v>
      </c>
    </row>
    <row r="7" spans="1:6" x14ac:dyDescent="0.25">
      <c r="A7" t="s">
        <v>5</v>
      </c>
      <c r="B7" s="10">
        <f>Assumptions!B7</f>
        <v>0.1442814108256371</v>
      </c>
      <c r="C7" s="10">
        <f>Assumptions!B7</f>
        <v>0.1442814108256371</v>
      </c>
      <c r="D7" s="10">
        <f>Assumptions!B7</f>
        <v>0.1442814108256371</v>
      </c>
      <c r="E7" s="10">
        <f>Assumptions!B7</f>
        <v>0.1442814108256371</v>
      </c>
      <c r="F7" s="10">
        <f>Assumptions!B7</f>
        <v>0.1442814108256371</v>
      </c>
    </row>
    <row r="8" spans="1:6" x14ac:dyDescent="0.25">
      <c r="A8" t="s">
        <v>44</v>
      </c>
      <c r="B8" s="18">
        <f>B6*B7</f>
        <v>7543239643.379378</v>
      </c>
      <c r="C8" s="18">
        <f>C6*C7</f>
        <v>7259309325.165718</v>
      </c>
      <c r="D8" s="18">
        <f>D6*D7</f>
        <v>6986066248.695951</v>
      </c>
      <c r="E8" s="18">
        <f>E6*E7</f>
        <v>6723108142.254921</v>
      </c>
      <c r="F8" s="18">
        <f>F6*F7</f>
        <v>6470047875.782981</v>
      </c>
    </row>
    <row r="9" spans="1:6" x14ac:dyDescent="0.25">
      <c r="A9" t="s">
        <v>45</v>
      </c>
      <c r="B9" s="18">
        <f>B8*(1-Assumptions!B8)</f>
        <v>6298605102.221781</v>
      </c>
      <c r="C9" s="18">
        <f>C8*(1-Assumptions!B8)</f>
        <v>6061523286.513374</v>
      </c>
      <c r="D9" s="18">
        <f>D8*(1-Assumptions!B8)</f>
        <v>5833365317.661119</v>
      </c>
      <c r="E9" s="18">
        <f>E8*(1-Assumptions!B8)</f>
        <v>5613795298.782859</v>
      </c>
      <c r="F9" s="18">
        <f>F8*(1-Assumptions!B8)</f>
        <v>5402489976.278789</v>
      </c>
    </row>
    <row r="10" spans="1:6" x14ac:dyDescent="0.25">
      <c r="A10" t="s">
        <v>46</v>
      </c>
      <c r="B10" s="18">
        <f>B6*Assumptions!B9</f>
        <v>3325817989.1104455</v>
      </c>
      <c r="C10" s="18">
        <f>C6*Assumptions!B9</f>
        <v>3200632975.1625395</v>
      </c>
      <c r="D10" s="18">
        <f>D6*Assumptions!B9</f>
        <v>3080159971.242978</v>
      </c>
      <c r="E10" s="18">
        <f>E6*Assumptions!B9</f>
        <v>2964221615.558948</v>
      </c>
      <c r="F10" s="18">
        <f>F6*Assumptions!B9</f>
        <v>2852647222.280835</v>
      </c>
    </row>
    <row r="11" spans="1:6" x14ac:dyDescent="0.25">
      <c r="A11" t="s">
        <v>47</v>
      </c>
      <c r="B11" s="18">
        <f>-B6*Assumptions!B10</f>
        <v>-6477352860.0422125</v>
      </c>
      <c r="C11" s="18">
        <f>-C6*Assumptions!B10</f>
        <v>-6233542912.899923</v>
      </c>
      <c r="D11" s="18">
        <f>-D6*Assumptions!B10</f>
        <v>-5998910061.958804</v>
      </c>
      <c r="E11" s="18">
        <f>-E6*Assumptions!B10</f>
        <v>-5773108877.938085</v>
      </c>
      <c r="F11" s="18">
        <f>-F6*Assumptions!B10</f>
        <v>-5555806933.642342</v>
      </c>
    </row>
    <row r="12" spans="1:6" x14ac:dyDescent="0.25">
      <c r="A12" t="s">
        <v>48</v>
      </c>
      <c r="B12" s="18">
        <f>-(B6-Assumptions!B29)*Assumptions!B11</f>
        <v>300174674.5727832</v>
      </c>
      <c r="C12" s="18">
        <f>-(C6-B6)*Assumptions!B11</f>
        <v>288875989.27303517</v>
      </c>
      <c r="D12" s="18">
        <f>-(D6-C6)*Assumptions!B11</f>
        <v>278002590.6490671</v>
      </c>
      <c r="E12" s="18">
        <f>-(E6-D6)*Assumptions!B11</f>
        <v>267538470.75377953</v>
      </c>
      <c r="F12" s="18">
        <f>-(F6-E6)*Assumptions!B11</f>
        <v>257468224.1850937</v>
      </c>
    </row>
    <row r="13" spans="1:6" x14ac:dyDescent="0.25">
      <c r="A13" s="19" t="s">
        <v>49</v>
      </c>
      <c r="B13" s="20">
        <f>B9+B10+B11+B12</f>
        <v>3447244905.8627963</v>
      </c>
      <c r="C13" s="20">
        <f>C9+C10+C11+C12</f>
        <v>3317489338.0490265</v>
      </c>
      <c r="D13" s="20">
        <f>D9+D10+D11+D12</f>
        <v>3192617817.5943613</v>
      </c>
      <c r="E13" s="20">
        <f>E9+E10+E11+E12</f>
        <v>3072446507.157501</v>
      </c>
      <c r="F13" s="20">
        <f>F9+F10+F11+F12</f>
        <v>2956798489.102376</v>
      </c>
    </row>
    <row r="14" spans="1:6" x14ac:dyDescent="0.25">
      <c r="A14" t="s">
        <v>50</v>
      </c>
      <c r="B14" s="21">
        <f>1/(1+Assumptions!$B$26)^(1-0.5*Assumptions!$B$32)</f>
        <v>0.9692356900658948</v>
      </c>
      <c r="C14" s="21">
        <f>1/(1+Assumptions!$B$26)^(2-0.5*Assumptions!$B$32)</f>
        <v>0.91051728183627</v>
      </c>
      <c r="D14" s="21">
        <f>1/(1+Assumptions!$B$26)^(3-0.5*Assumptions!$B$32)</f>
        <v>0.8553561626131885</v>
      </c>
      <c r="E14" s="21">
        <f>1/(1+Assumptions!$B$26)^(4-0.5*Assumptions!$B$32)</f>
        <v>0.8035368240840512</v>
      </c>
      <c r="F14" s="21">
        <f>1/(1+Assumptions!$B$26)^(5-0.5*Assumptions!$B$32)</f>
        <v>0.7548568138990199</v>
      </c>
    </row>
    <row r="15" spans="1:6" x14ac:dyDescent="0.25">
      <c r="A15" s="19" t="s">
        <v>51</v>
      </c>
      <c r="B15" s="20">
        <f>B13*B14</f>
        <v>3341192795.160068</v>
      </c>
      <c r="C15" s="20">
        <f>C13*C14</f>
        <v>3020631374.6012063</v>
      </c>
      <c r="D15" s="20">
        <f>D13*D14</f>
        <v>2730825325.1480055</v>
      </c>
      <c r="E15" s="20">
        <f>E13*E14</f>
        <v>2468823908.5294747</v>
      </c>
      <c r="F15" s="20">
        <f>F13*F14</f>
        <v>2231959486.8252554</v>
      </c>
    </row>
    <row r="17" spans="1:2" x14ac:dyDescent="0.25">
      <c r="A17" s="22" t="s">
        <v>52</v>
      </c>
      <c r="B17" s="23">
        <f>SUM(B15:F15)</f>
        <v>13793432890.264008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2956798489.102376</v>
      </c>
    </row>
    <row r="5" spans="1:2" x14ac:dyDescent="0.25">
      <c r="A5" t="s">
        <v>56</v>
      </c>
      <c r="B5" s="18">
        <f>IF(Assumptions!$B$33=0,B4,B4-Forecast!F11-Forecast!F10-Forecast!F12)</f>
        <v>5402489976.278789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0.38766262118158545</v>
      </c>
    </row>
    <row r="7" spans="1:2" x14ac:dyDescent="0.25">
      <c r="A7" t="s">
        <v>58</v>
      </c>
      <c r="B7" s="18">
        <f>-MAX(Forecast!F9,0)*B6</f>
        <v>-2094343425.1114767</v>
      </c>
    </row>
    <row r="8" spans="1:2" x14ac:dyDescent="0.25">
      <c r="A8" t="s">
        <v>59</v>
      </c>
      <c r="B8" s="18">
        <f>IF(OR(Assumptions!$B$33=0,Assumptions!B12&lt;=0),B5,MAX(B5+B7,0))</f>
        <v>3308146551.1673117</v>
      </c>
    </row>
    <row r="9" spans="1:2" x14ac:dyDescent="0.25">
      <c r="A9" t="s">
        <v>60</v>
      </c>
      <c r="B9" s="18">
        <f>B8*(1+Assumptions!B12)/(Assumptions!B26-Assumptions!B12)</f>
        <v>85868080429.57053</v>
      </c>
    </row>
    <row r="10" spans="1:2" x14ac:dyDescent="0.25">
      <c r="A10" t="s">
        <v>61</v>
      </c>
      <c r="B10" s="18">
        <f>B9/(1+Assumptions!B26)^(5-0.5*Assumptions!B32)</f>
        <v>64818105608.69039</v>
      </c>
    </row>
    <row r="11" spans="1:2" x14ac:dyDescent="0.25">
      <c r="A11" t="s">
        <v>62</v>
      </c>
      <c r="B11" s="18">
        <f>Forecast!B17+B10</f>
        <v>78611538498.9544</v>
      </c>
    </row>
    <row r="12" spans="1:2" x14ac:dyDescent="0.25">
      <c r="A12" t="s">
        <v>63</v>
      </c>
      <c r="B12" s="18">
        <f>-Assumptions!B30</f>
        <v>-52991600000</v>
      </c>
    </row>
    <row r="13" spans="1:2" x14ac:dyDescent="0.25">
      <c r="A13" t="s">
        <v>64</v>
      </c>
      <c r="B13" s="18">
        <f>B11+B12</f>
        <v>25619938498.954407</v>
      </c>
    </row>
    <row r="14" spans="1:2" x14ac:dyDescent="0.25">
      <c r="A14" s="19" t="s">
        <v>65</v>
      </c>
      <c r="B14" s="24">
        <f>B13/Assumptions!B31</f>
        <v>1.3729966159678892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9322695098.063816</v>
      </c>
    </row>
    <row r="18" spans="1:2" x14ac:dyDescent="0.25">
      <c r="A18" t="s">
        <v>60</v>
      </c>
      <c r="B18" s="18">
        <f>B17*Assumptions!B13</f>
        <v>144734228103.9242</v>
      </c>
    </row>
    <row r="19" spans="1:2" x14ac:dyDescent="0.25">
      <c r="A19" t="s">
        <v>61</v>
      </c>
      <c r="B19" s="18">
        <f>B18/(1+Assumptions!B26)^(5-0.5*Assumptions!B32)</f>
        <v>109253618288.6622</v>
      </c>
    </row>
    <row r="20" spans="1:2" x14ac:dyDescent="0.25">
      <c r="A20" t="s">
        <v>62</v>
      </c>
      <c r="B20" s="18">
        <f>Forecast!B17+B19</f>
        <v>123047051178.92621</v>
      </c>
    </row>
    <row r="21" spans="1:2" x14ac:dyDescent="0.25">
      <c r="A21" t="s">
        <v>63</v>
      </c>
      <c r="B21" s="18">
        <f>-Assumptions!B30</f>
        <v>-52991600000</v>
      </c>
    </row>
    <row r="22" spans="1:2" x14ac:dyDescent="0.25">
      <c r="A22" t="s">
        <v>64</v>
      </c>
      <c r="B22" s="18">
        <f>B20+B21</f>
        <v>70055451178.92621</v>
      </c>
    </row>
    <row r="23" spans="1:2" x14ac:dyDescent="0.25">
      <c r="A23" s="19" t="s">
        <v>65</v>
      </c>
      <c r="B23" s="25">
        <f>B22/Assumptions!B31</f>
        <v>3.7543375602831706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1.3729966159678892</v>
      </c>
    </row>
    <row r="29" spans="1:2" x14ac:dyDescent="0.25">
      <c r="A29" s="19" t="s">
        <v>73</v>
      </c>
      <c r="B29" s="12">
        <f>B28/B26-1</f>
        <v>-0.8063474448564332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0.044489</v>
      </c>
      <c r="B5" s="31">
        <v>3.988817464627076</v>
      </c>
      <c r="C5" s="31">
        <v>4.399520934852877</v>
      </c>
      <c r="D5" s="31">
        <v>5.010344424718211</v>
      </c>
      <c r="E5" s="31">
        <v>6.0284658136207625</v>
      </c>
      <c r="F5" s="31">
        <v>8.097732554986425</v>
      </c>
    </row>
    <row r="6" spans="1:6" x14ac:dyDescent="0.25">
      <c r="A6" s="30">
        <v>0.054489</v>
      </c>
      <c r="B6" s="31">
        <v>2.248396655793238</v>
      </c>
      <c r="C6" s="31">
        <v>2.3147696943636302</v>
      </c>
      <c r="D6" s="31">
        <v>2.3969289102208697</v>
      </c>
      <c r="E6" s="31">
        <v>2.5045436512069537</v>
      </c>
      <c r="F6" s="31">
        <v>2.6572061425223867</v>
      </c>
    </row>
    <row r="7" spans="1:6" x14ac:dyDescent="0.25">
      <c r="A7" s="30">
        <v>0.064489</v>
      </c>
      <c r="B7" s="31">
        <v>1.3391117384826132</v>
      </c>
      <c r="C7" s="31">
        <v>1.356056459176027</v>
      </c>
      <c r="D7" s="32">
        <v>1.3730011798694415</v>
      </c>
      <c r="E7" s="31">
        <v>1.3899459005628552</v>
      </c>
      <c r="F7" s="31">
        <v>1.4068906212562688</v>
      </c>
    </row>
    <row r="8" spans="1:6" x14ac:dyDescent="0.25">
      <c r="A8" s="30">
        <v>0.074489</v>
      </c>
      <c r="B8" s="31">
        <v>0.7389650523324927</v>
      </c>
      <c r="C8" s="31">
        <v>0.7530305250279269</v>
      </c>
      <c r="D8" s="31">
        <v>0.7670959977233596</v>
      </c>
      <c r="E8" s="31">
        <v>0.7811614704187946</v>
      </c>
      <c r="F8" s="31">
        <v>0.795226943114228</v>
      </c>
    </row>
    <row r="9" spans="1:6" x14ac:dyDescent="0.25">
      <c r="A9" s="30">
        <v>0.084489</v>
      </c>
      <c r="B9" s="31">
        <v>0.2831674623989621</v>
      </c>
      <c r="C9" s="31">
        <v>0.2950618478243213</v>
      </c>
      <c r="D9" s="31">
        <v>0.3069562332496801</v>
      </c>
      <c r="E9" s="31">
        <v>0.31885061867503883</v>
      </c>
      <c r="F9" s="31">
        <v>0.33074500410039764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54326300000</v>
      </c>
      <c r="C5" s="18">
        <v>55472800000</v>
      </c>
      <c r="D5" s="18">
        <v>56971100000</v>
      </c>
      <c r="E5" s="18">
        <v>60953400000</v>
      </c>
      <c r="F5" s="8" t="s">
        <v>84</v>
      </c>
    </row>
    <row r="6" spans="1:6" x14ac:dyDescent="0.25">
      <c r="A6" t="s">
        <v>44</v>
      </c>
      <c r="B6" s="18">
        <v>8132100000</v>
      </c>
      <c r="C6" s="18">
        <v>8177900000</v>
      </c>
      <c r="D6" s="18">
        <v>8137300000</v>
      </c>
      <c r="E6" s="18">
        <v>8361700000</v>
      </c>
      <c r="F6" s="8" t="s">
        <v>85</v>
      </c>
    </row>
    <row r="7" spans="1:6" x14ac:dyDescent="0.25">
      <c r="A7" t="s">
        <v>86</v>
      </c>
      <c r="B7" s="18">
        <v>3802900000</v>
      </c>
      <c r="C7" s="18">
        <v>3567900000</v>
      </c>
      <c r="D7" s="18">
        <v>3549200000</v>
      </c>
      <c r="E7" s="18">
        <v>3525400000</v>
      </c>
      <c r="F7" s="8" t="s">
        <v>87</v>
      </c>
    </row>
    <row r="8" spans="1:6" x14ac:dyDescent="0.25">
      <c r="A8" t="s">
        <v>88</v>
      </c>
      <c r="B8" s="18">
        <v>5131600000</v>
      </c>
      <c r="C8" s="18">
        <v>6460100000</v>
      </c>
      <c r="D8" s="18">
        <v>8427600000</v>
      </c>
      <c r="E8" s="18">
        <v>8334400000</v>
      </c>
      <c r="F8" s="8" t="s">
        <v>89</v>
      </c>
    </row>
    <row r="9" spans="1:6" x14ac:dyDescent="0.25">
      <c r="A9" t="s">
        <v>90</v>
      </c>
      <c r="B9" s="18">
        <v>-168300000</v>
      </c>
      <c r="C9" s="18">
        <v>742800000</v>
      </c>
      <c r="D9" s="18">
        <v>-784900000</v>
      </c>
      <c r="E9" s="18">
        <v>1288200000</v>
      </c>
      <c r="F9" s="8" t="s">
        <v>91</v>
      </c>
    </row>
    <row r="10" spans="1:6" x14ac:dyDescent="0.25">
      <c r="A10" t="s">
        <v>92</v>
      </c>
      <c r="B10" s="18">
        <v>61002300000</v>
      </c>
      <c r="C10" s="18">
        <v>58812200000</v>
      </c>
      <c r="D10" s="18">
        <v>56906900000</v>
      </c>
      <c r="E10" s="18">
        <v>60441500000</v>
      </c>
      <c r="F10" s="8" t="s">
        <v>93</v>
      </c>
    </row>
    <row r="11" spans="1:6" x14ac:dyDescent="0.25">
      <c r="A11" t="s">
        <v>94</v>
      </c>
      <c r="B11" s="18">
        <v>8010700000</v>
      </c>
      <c r="C11" s="18">
        <v>7690600000</v>
      </c>
      <c r="D11" s="18">
        <v>10412900000</v>
      </c>
      <c r="E11" s="18">
        <v>13363600000</v>
      </c>
      <c r="F11" s="8" t="s">
        <v>95</v>
      </c>
    </row>
    <row r="12" spans="1:6" x14ac:dyDescent="0.25">
      <c r="A12" t="s">
        <v>32</v>
      </c>
      <c r="B12" s="34">
        <v>18659870098</v>
      </c>
      <c r="C12" s="34">
        <v>18659870098</v>
      </c>
      <c r="D12" s="34">
        <v>18659870098</v>
      </c>
      <c r="E12" s="34">
        <v>18659870098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2026-09-19T00:09:44Z</dcterms:modified>
</cp:coreProperties>
</file>