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<sst xmlns="http://schemas.openxmlformats.org/spreadsheetml/2006/main" count="115" uniqueCount="103">
  <si>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Henderson Land Development Company Limited (0012.HK)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</si>
  <si>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</si>
  <si>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</si>
  <si>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</si>
  <si>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</si>
  <si>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</si>
  <si>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</si>
  <si>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</si>
  <si>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</si>
  <si>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</si>
  <si>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</si>
  <si>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</si>
  <si>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</si>
  <si>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</si>
  <si>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</si>
  <si>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</si>
  <si>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</si>
  <si>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</si>
  <si>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</si>
  <si>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</si>
  <si>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</si>
  <si>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</si>
  <si>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</si>
  <si>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</si>
  <si>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</si>
  <si>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</si>
  <si>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</si>
  <si>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</si>
  <si>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</si>
  <si>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</si>
  <si>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</si>
  <si>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</si>
  <si>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</si>
  <si>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</si>
  <si>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</si>
  <si>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</si>
  <si>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</si>
  <si>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</si>
  <si>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</si>
  <si>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</si>
  <si>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</si>
  <si>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</si>
  <si>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</si>
  <si>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</si>
  <si>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</si>
  <si>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</si>
  <si>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</si>
  <si>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</si>
  <si>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</si>
  <si>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</si>
  <si>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</si>
  <si>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</si>
  <si>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</si>
  <si>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</si>
  <si>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</si>
  <si>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</si>
  <si>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</si>
  <si>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</si>
  <si>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</si>
  <si>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</si>
  <si>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</si>
  <si>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</si>
  <si>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</si>
  <si>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</si>
  <si>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</si>
  <si>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</si>
  <si>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</si>
  <si>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</si>
  <si>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</si>
  <si>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</si>
  <si>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</si>
  <si>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</si>
  <si>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</si>
  <si>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</si>
  <si>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</si>
  <si>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</si>
  <si>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</si>
  <si>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</si>
  <si>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</si>
  <si>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</si>
  <si>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</si>
  <si>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</si>
  <si>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</si>
  <si>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</si>
  <si>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</si>
  <si>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</si>
  <si>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</si>
  <si>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</si>
  <si>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</si>
  <si>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</si>
  <si>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</si>
  <si>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</si>
  <si>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</si>
  <si>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</si>
  <si>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</si>
  <si>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</si>
  <si>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</si>
  <si>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</si>
  <si>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</si>
  <si>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just 0.00% of revenue, which is too low to be the company's real investment - property trusts and similar structures invest through lines that are not reported as capex. Capex has been set to 1.94% of revenue so the forecast is not handed free growth. Override it if the reported figure is right.</t>
  </si>
  <si>
    <t>Note: Risk-free rate is an assumption: HKD assumption - no free live source available for this market.</t>
  </si>
  <si>
    <t>Current EV/EBITDA of 37.9x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</si>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</sst>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0.002472584014703072</v>
      </c>
    </row>
    <row r="7" spans="1:2" x14ac:dyDescent="0.25">
      <c r="A7" t="s">
        <v>5</v>
      </c>
      <c r="B7" s="6">
        <v>0.2155444655514835</v>
      </c>
    </row>
    <row r="8" spans="1:2" x14ac:dyDescent="0.25">
      <c r="A8" t="s">
        <v>6</v>
      </c>
      <c r="B8" s="6">
        <v>0.11592619567856276</v>
      </c>
    </row>
    <row r="9" spans="1:2" x14ac:dyDescent="0.25">
      <c r="A9" t="s">
        <v>7</v>
      </c>
      <c r="B9" s="6">
        <v>0.019586330812652063</v>
      </c>
    </row>
    <row r="10" spans="1:2" x14ac:dyDescent="0.25">
      <c r="A10" t="s">
        <v>8</v>
      </c>
      <c r="B10" s="6">
        <v>0.01944219114282915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0.07792047744226022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1.1058599999999998</v>
      </c>
      <c r="C19" s="8" t="s">
        <v>19</v>
      </c>
    </row>
    <row r="20" spans="1:2" x14ac:dyDescent="0.25">
      <c r="A20" t="s">
        <v>20</v>
      </c>
      <c r="B20" s="10">
        <f>B17+B19*B18</f>
        <v>0.1094102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125682401280</v>
      </c>
    </row>
    <row r="23" spans="1:2" x14ac:dyDescent="0.25">
      <c r="A23" t="s">
        <v>24</v>
      </c>
      <c r="B23" s="11">
        <v>79744000000</v>
      </c>
    </row>
    <row r="24" spans="1:2" x14ac:dyDescent="0.25">
      <c r="A24" t="s">
        <v>25</v>
      </c>
      <c r="B24" s="10">
        <f>B22/(B22+B23)</f>
        <v>0.6118123108659853</v>
      </c>
    </row>
    <row r="25" spans="1:2" x14ac:dyDescent="0.25">
      <c r="A25" t="s">
        <v>26</v>
      </c>
      <c r="B25" s="10">
        <f>1-B24</f>
        <v>0.3881876891340147</v>
      </c>
    </row>
    <row r="26" spans="1:2" x14ac:dyDescent="0.25">
      <c r="A26" t="s">
        <v>27</v>
      </c>
      <c r="B26" s="12">
        <f>B24*B20+B25*B21*(1-B8)</f>
        <v>0.07792047744226022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25741000000</v>
      </c>
      <c r="C29" s="8" t="s">
        <v>30</v>
      </c>
    </row>
    <row r="30" spans="1:2" x14ac:dyDescent="0.25">
      <c r="A30" t="s">
        <v>31</v>
      </c>
      <c r="B30" s="11">
        <v>56624000000</v>
      </c>
    </row>
    <row r="31" spans="1:2" x14ac:dyDescent="0.25">
      <c r="A31" t="s">
        <v>32</v>
      </c>
      <c r="B31" s="13">
        <v>4841000000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0.002472584014703072</v>
      </c>
      <c r="C5" s="10">
        <f>Assumptions!B6</f>
        <v>0.002472584014703072</v>
      </c>
      <c r="D5" s="10">
        <f>Assumptions!B6</f>
        <v>0.002472584014703072</v>
      </c>
      <c r="E5" s="10">
        <f>Assumptions!B6</f>
        <v>0.002472584014703072</v>
      </c>
      <c r="F5" s="10">
        <f>Assumptions!B6</f>
        <v>0.002472584014703072</v>
      </c>
    </row>
    <row r="6" spans="1:6" x14ac:dyDescent="0.25">
      <c r="A6" t="s">
        <v>43</v>
      </c>
      <c r="B6" s="18">
        <f>Assumptions!B29*(1+B5)</f>
        <v>25804646785.12247</v>
      </c>
      <c r="C6" s="18">
        <f>B6*(1+C5)</f>
        <v>25868450942.268425</v>
      </c>
      <c r="D6" s="18">
        <f>C6*(1+D5)</f>
        <v>25932412860.55341</v>
      </c>
      <c r="E6" s="18">
        <f>D6*(1+E5)</f>
        <v>25996532930.055096</v>
      </c>
      <c r="F6" s="18">
        <f>E6*(1+F5)</f>
        <v>26060811541.81565</v>
      </c>
    </row>
    <row r="7" spans="1:6" x14ac:dyDescent="0.25">
      <c r="A7" t="s">
        <v>5</v>
      </c>
      <c r="B7" s="10">
        <f>Assumptions!B7</f>
        <v>0.2155444655514835</v>
      </c>
      <c r="C7" s="10">
        <f>Assumptions!B7</f>
        <v>0.2155444655514835</v>
      </c>
      <c r="D7" s="10">
        <f>Assumptions!B7</f>
        <v>0.2155444655514835</v>
      </c>
      <c r="E7" s="10">
        <f>Assumptions!B7</f>
        <v>0.2155444655514835</v>
      </c>
      <c r="F7" s="10">
        <f>Assumptions!B7</f>
        <v>0.2155444655514835</v>
      </c>
    </row>
    <row r="8" spans="1:6" x14ac:dyDescent="0.25">
      <c r="A8" t="s">
        <v>44</v>
      </c>
      <c r="B8" s="18">
        <f>B6*B7</f>
        <v>5562048800.044029</v>
      </c>
      <c r="C8" s="18">
        <f>C6*C7</f>
        <v>5575801432.996017</v>
      </c>
      <c r="D8" s="18">
        <f>D6*D7</f>
        <v>5589588070.488401</v>
      </c>
      <c r="E8" s="18">
        <f>E6*E7</f>
        <v>5603408796.600266</v>
      </c>
      <c r="F8" s="18">
        <f>F6*F7</f>
        <v>5617263695.618587</v>
      </c>
    </row>
    <row r="9" spans="1:6" x14ac:dyDescent="0.25">
      <c r="A9" t="s">
        <v>45</v>
      </c>
      <c r="B9" s="18">
        <f>B8*(1-Assumptions!B8)</f>
        <v>4917261642.47641</v>
      </c>
      <c r="C9" s="18">
        <f>C8*(1-Assumptions!B8)</f>
        <v>4929419985.00971</v>
      </c>
      <c r="D9" s="18">
        <f>D8*(1-Assumptions!B8)</f>
        <v>4941608390.066402</v>
      </c>
      <c r="E9" s="18">
        <f>E8*(1-Assumptions!B8)</f>
        <v>4953826931.978604</v>
      </c>
      <c r="F9" s="18">
        <f>F8*(1-Assumptions!B8)</f>
        <v>4966075685.262219</v>
      </c>
    </row>
    <row r="10" spans="1:6" x14ac:dyDescent="0.25">
      <c r="A10" t="s">
        <v>46</v>
      </c>
      <c r="B10" s="18">
        <f>B6*Assumptions!B9</f>
        <v>505418348.43704724</v>
      </c>
      <c r="C10" s="18">
        <f>C6*Assumptions!B9</f>
        <v>506668037.7661303</v>
      </c>
      <c r="D10" s="18">
        <f>D6*Assumptions!B9</f>
        <v>507920817.05707186</v>
      </c>
      <c r="E10" s="18">
        <f>E6*Assumptions!B9</f>
        <v>509176693.95006216</v>
      </c>
      <c r="F10" s="18">
        <f>F6*Assumptions!B9</f>
        <v>510435676.1041824</v>
      </c>
    </row>
    <row r="11" spans="1:6" x14ac:dyDescent="0.25">
      <c r="A11" t="s">
        <v>47</v>
      </c>
      <c r="B11" s="18">
        <f>-B6*Assumptions!B10</f>
        <v>-501698875.1695428</v>
      </c>
      <c r="C11" s="18">
        <f>-C6*Assumptions!B10</f>
        <v>-502939367.78848153</v>
      </c>
      <c r="D11" s="18">
        <f>-D6*Assumptions!B10</f>
        <v>-504182927.6296402</v>
      </c>
      <c r="E11" s="18">
        <f>-E6*Assumptions!B10</f>
        <v>-505429562.2769835</v>
      </c>
      <c r="F11" s="18">
        <f>-F6*Assumptions!B10</f>
        <v>-506679279.33322793</v>
      </c>
    </row>
    <row r="12" spans="1:6" x14ac:dyDescent="0.25">
      <c r="A12" t="s">
        <v>48</v>
      </c>
      <c r="B12" s="18">
        <f>-(B6-Assumptions!B29)*Assumptions!B11</f>
        <v>63646785.122470856</v>
      </c>
      <c r="C12" s="18">
        <f>-(C6-B6)*Assumptions!B11</f>
        <v>63804157.14595413</v>
      </c>
      <c r="D12" s="18">
        <f>-(D6-C6)*Assumptions!B11</f>
        <v>63961918.28498459</v>
      </c>
      <c r="E12" s="18">
        <f>-(E6-D6)*Assumptions!B11</f>
        <v>64120069.501686096</v>
      </c>
      <c r="F12" s="18">
        <f>-(F6-E6)*Assumptions!B11</f>
        <v>64278611.76055527</v>
      </c>
    </row>
    <row r="13" spans="1:6" x14ac:dyDescent="0.25">
      <c r="A13" s="19" t="s">
        <v>49</v>
      </c>
      <c r="B13" s="20">
        <f>B9+B10+B11+B12</f>
        <v>4984627900.8663845</v>
      </c>
      <c r="C13" s="20">
        <f>C9+C10+C11+C12</f>
        <v>4996952812.133313</v>
      </c>
      <c r="D13" s="20">
        <f>D9+D10+D11+D12</f>
        <v>5009308197.778818</v>
      </c>
      <c r="E13" s="20">
        <f>E9+E10+E11+E12</f>
        <v>5021694133.153369</v>
      </c>
      <c r="F13" s="20">
        <f>F9+F10+F11+F12</f>
        <v>5034110693.793729</v>
      </c>
    </row>
    <row r="14" spans="1:6" x14ac:dyDescent="0.25">
      <c r="A14" t="s">
        <v>50</v>
      </c>
      <c r="B14" s="21">
        <f>1/(1+Assumptions!$B$26)^(1-0.5*Assumptions!$B$32)</f>
        <v>0.9631781874732979</v>
      </c>
      <c r="C14" s="21">
        <f>1/(1+Assumptions!$B$26)^(2-0.5*Assumptions!$B$32)</f>
        <v>0.8935521753504228</v>
      </c>
      <c r="D14" s="21">
        <f>1/(1+Assumptions!$B$26)^(3-0.5*Assumptions!$B$32)</f>
        <v>0.8289592730167674</v>
      </c>
      <c r="E14" s="21">
        <f>1/(1+Assumptions!$B$26)^(4-0.5*Assumptions!$B$32)</f>
        <v>0.7690356481433217</v>
      </c>
      <c r="F14" s="21">
        <f>1/(1+Assumptions!$B$26)^(5-0.5*Assumptions!$B$32)</f>
        <v>0.7134437690321324</v>
      </c>
    </row>
    <row r="15" spans="1:6" x14ac:dyDescent="0.25">
      <c r="A15" s="19" t="s">
        <v>51</v>
      </c>
      <c r="B15" s="20">
        <f>B13*B14</f>
        <v>4801084866.785314</v>
      </c>
      <c r="C15" s="20">
        <f>C13*C14</f>
        <v>4465038055.405134</v>
      </c>
      <c r="D15" s="20">
        <f>D13*D14</f>
        <v>4152512481.9476624</v>
      </c>
      <c r="E15" s="20">
        <f>E13*E14</f>
        <v>3861861802.4671173</v>
      </c>
      <c r="F15" s="20">
        <f>F13*F14</f>
        <v>3591554907.1051607</v>
      </c>
    </row>
    <row r="17" spans="1:2" x14ac:dyDescent="0.25">
      <c r="A17" s="22" t="s">
        <v>52</v>
      </c>
      <c r="B17" s="23">
        <f>SUM(B15:F15)</f>
        <v>20872052113.71039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5034110693.793729</v>
      </c>
    </row>
    <row r="5" spans="1:2" x14ac:dyDescent="0.25">
      <c r="A5" t="s">
        <v>56</v>
      </c>
      <c r="B5" s="18">
        <f>IF(Assumptions!$B$33=0,B4,B4-Forecast!F11-Forecast!F10-Forecast!F12)</f>
        <v>4969396617.2460575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0.32083992322204685</v>
      </c>
    </row>
    <row r="7" spans="1:2" x14ac:dyDescent="0.25">
      <c r="A7" t="s">
        <v>58</v>
      </c>
      <c r="B7" s="18">
        <f>-MAX(Forecast!F9,0)*B6</f>
        <v>-1594380829.1371245</v>
      </c>
    </row>
    <row r="8" spans="1:2" x14ac:dyDescent="0.25">
      <c r="A8" t="s">
        <v>59</v>
      </c>
      <c r="B8" s="18">
        <f>IF(OR(Assumptions!$B$33=0,Assumptions!B12&lt;=0),B5,MAX(B5+B7,0))</f>
        <v>3375015788.108933</v>
      </c>
    </row>
    <row r="9" spans="1:2" x14ac:dyDescent="0.25">
      <c r="A9" t="s">
        <v>60</v>
      </c>
      <c r="B9" s="18">
        <f>B8*(1+Assumptions!B12)/(Assumptions!B26-Assumptions!B12)</f>
        <v>65369613994.62209</v>
      </c>
    </row>
    <row r="10" spans="1:2" x14ac:dyDescent="0.25">
      <c r="A10" t="s">
        <v>61</v>
      </c>
      <c r="B10" s="18">
        <f>B9/(1+Assumptions!B26)^(5-0.5*Assumptions!B32)</f>
        <v>46637543788.49881</v>
      </c>
    </row>
    <row r="11" spans="1:2" x14ac:dyDescent="0.25">
      <c r="A11" t="s">
        <v>62</v>
      </c>
      <c r="B11" s="18">
        <f>Forecast!B17+B10</f>
        <v>67509595902.2092</v>
      </c>
    </row>
    <row r="12" spans="1:2" x14ac:dyDescent="0.25">
      <c r="A12" t="s">
        <v>63</v>
      </c>
      <c r="B12" s="18">
        <f>-Assumptions!B30</f>
        <v>-56624000000</v>
      </c>
    </row>
    <row r="13" spans="1:2" x14ac:dyDescent="0.25">
      <c r="A13" t="s">
        <v>64</v>
      </c>
      <c r="B13" s="18">
        <f>B11+B12</f>
        <v>10885595902.209198</v>
      </c>
    </row>
    <row r="14" spans="1:2" x14ac:dyDescent="0.25">
      <c r="A14" s="19" t="s">
        <v>65</v>
      </c>
      <c r="B14" s="24">
        <f>B13/Assumptions!B31</f>
        <v>2.248625470400578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6127699371.722769</v>
      </c>
    </row>
    <row r="18" spans="1:2" x14ac:dyDescent="0.25">
      <c r="A18" t="s">
        <v>60</v>
      </c>
      <c r="B18" s="18">
        <f>B17*Assumptions!B13</f>
        <v>122553987434.45538</v>
      </c>
    </row>
    <row r="19" spans="1:2" x14ac:dyDescent="0.25">
      <c r="A19" t="s">
        <v>61</v>
      </c>
      <c r="B19" s="18">
        <f>B18/(1+Assumptions!B26)^(5-0.5*Assumptions!B32)</f>
        <v>87435378705.15443</v>
      </c>
    </row>
    <row r="20" spans="1:2" x14ac:dyDescent="0.25">
      <c r="A20" t="s">
        <v>62</v>
      </c>
      <c r="B20" s="18">
        <f>Forecast!B17+B19</f>
        <v>108307430818.86482</v>
      </c>
    </row>
    <row r="21" spans="1:2" x14ac:dyDescent="0.25">
      <c r="A21" t="s">
        <v>63</v>
      </c>
      <c r="B21" s="18">
        <f>-Assumptions!B30</f>
        <v>-56624000000</v>
      </c>
    </row>
    <row r="22" spans="1:2" x14ac:dyDescent="0.25">
      <c r="A22" t="s">
        <v>64</v>
      </c>
      <c r="B22" s="18">
        <f>B20+B21</f>
        <v>51683430818.86482</v>
      </c>
    </row>
    <row r="23" spans="1:2" x14ac:dyDescent="0.25">
      <c r="A23" s="19" t="s">
        <v>65</v>
      </c>
      <c r="B23" s="25">
        <f>B22/Assumptions!B31</f>
        <v>10.676188973118121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2.248625470400578</v>
      </c>
    </row>
    <row r="29" spans="1:2" x14ac:dyDescent="0.25">
      <c r="A29" s="19" t="s">
        <v>73</v>
      </c>
      <c r="B29" s="12">
        <f>B28/B26-1</f>
        <v>-0.9133811452079901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0.05792</v>
      </c>
      <c r="B5" s="31">
        <v>6.773437599148876</v>
      </c>
      <c r="C5" s="31">
        <v>6.842219203955474</v>
      </c>
      <c r="D5" s="31">
        <v>6.9110008087620605</v>
      </c>
      <c r="E5" s="31">
        <v>6.979782413568646</v>
      </c>
      <c r="F5" s="31">
        <v>7.048564018375242</v>
      </c>
    </row>
    <row r="6" spans="1:6" x14ac:dyDescent="0.25">
      <c r="A6" s="30">
        <v>0.06792</v>
      </c>
      <c r="B6" s="31">
        <v>4.124174140457595</v>
      </c>
      <c r="C6" s="31">
        <v>4.180397483375179</v>
      </c>
      <c r="D6" s="31">
        <v>4.236620826292757</v>
      </c>
      <c r="E6" s="31">
        <v>4.292844169210341</v>
      </c>
      <c r="F6" s="31">
        <v>4.349067512127919</v>
      </c>
    </row>
    <row r="7" spans="1:6" x14ac:dyDescent="0.25">
      <c r="A7" s="30">
        <v>0.07792</v>
      </c>
      <c r="B7" s="31">
        <v>2.154718503493018</v>
      </c>
      <c r="C7" s="31">
        <v>2.2017133518767693</v>
      </c>
      <c r="D7" s="32">
        <v>2.2487082002605114</v>
      </c>
      <c r="E7" s="31">
        <v>2.29570304864426</v>
      </c>
      <c r="F7" s="31">
        <v>2.3426978970280086</v>
      </c>
    </row>
    <row r="8" spans="1:6" x14ac:dyDescent="0.25">
      <c r="A8" s="30">
        <v>0.08792</v>
      </c>
      <c r="B8" s="31">
        <v>0.6331059382955248</v>
      </c>
      <c r="C8" s="31">
        <v>0.6730603351338463</v>
      </c>
      <c r="D8" s="31">
        <v>0.7130147319721647</v>
      </c>
      <c r="E8" s="31">
        <v>0.7529691288104862</v>
      </c>
      <c r="F8" s="31">
        <v>0.7929235256488077</v>
      </c>
    </row>
    <row r="9" spans="1:6" x14ac:dyDescent="0.25">
      <c r="A9" s="30">
        <v>0.09792</v>
      </c>
      <c r="B9" s="31">
        <v>-0.5778712760130755</v>
      </c>
      <c r="C9" s="31">
        <v>-0.5434442868191413</v>
      </c>
      <c r="D9" s="31">
        <v>-0.5090172976252085</v>
      </c>
      <c r="E9" s="31">
        <v>-0.4745903084312775</v>
      </c>
      <c r="F9" s="31">
        <v>-0.4401633192373448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25741000000</v>
      </c>
      <c r="C5" s="18">
        <v>25256000000</v>
      </c>
      <c r="D5" s="18">
        <v>27570000000</v>
      </c>
      <c r="E5" s="18">
        <v>25551000000</v>
      </c>
      <c r="F5" s="8" t="s">
        <v>84</v>
      </c>
    </row>
    <row r="6" spans="1:6" x14ac:dyDescent="0.25">
      <c r="A6" t="s">
        <v>44</v>
      </c>
      <c r="B6" s="18">
        <v>4347000000</v>
      </c>
      <c r="C6" s="18">
        <v>5149000000</v>
      </c>
      <c r="D6" s="18">
        <v>6207000000</v>
      </c>
      <c r="E6" s="18">
        <v>6753000000</v>
      </c>
      <c r="F6" s="8" t="s">
        <v>85</v>
      </c>
    </row>
    <row r="7" spans="1:6" x14ac:dyDescent="0.25">
      <c r="A7" t="s">
        <v>86</v>
      </c>
      <c r="B7" s="18">
        <v>469000000</v>
      </c>
      <c r="C7" s="18">
        <v>491000000</v>
      </c>
      <c r="D7" s="18">
        <v>539000000</v>
      </c>
      <c r="E7" s="18">
        <v>540000000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-7762000000</v>
      </c>
      <c r="C9" s="18">
        <v>-7732000000</v>
      </c>
      <c r="D9" s="18">
        <v>-8748000000</v>
      </c>
      <c r="E9" s="18">
        <v>-6494000000</v>
      </c>
      <c r="F9" s="8" t="s">
        <v>91</v>
      </c>
    </row>
    <row r="10" spans="1:6" x14ac:dyDescent="0.25">
      <c r="A10" t="s">
        <v>92</v>
      </c>
      <c r="B10" s="18">
        <v>79744000000</v>
      </c>
      <c r="C10" s="18">
        <v>83255000000</v>
      </c>
      <c r="D10" s="18">
        <v>93087000000</v>
      </c>
      <c r="E10" s="18">
        <v>88336000000</v>
      </c>
      <c r="F10" s="8" t="s">
        <v>93</v>
      </c>
    </row>
    <row r="11" spans="1:6" x14ac:dyDescent="0.25">
      <c r="A11" t="s">
        <v>94</v>
      </c>
      <c r="B11" s="18">
        <v>23120000000</v>
      </c>
      <c r="C11" s="18">
        <v>18770000000</v>
      </c>
      <c r="D11" s="18">
        <v>22105000000</v>
      </c>
      <c r="E11" s="18">
        <v>11745000000</v>
      </c>
      <c r="F11" s="8" t="s">
        <v>95</v>
      </c>
    </row>
    <row r="12" spans="1:6" x14ac:dyDescent="0.25">
      <c r="A12" t="s">
        <v>32</v>
      </c>
      <c r="B12" s="34">
        <v>4841000000</v>
      </c>
      <c r="C12" s="34">
        <v>4841387003</v>
      </c>
      <c r="D12" s="34">
        <v>4841000000</v>
      </c>
      <c r="E12" s="34">
        <v>4841000000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