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<sst xmlns="http://schemas.openxmlformats.org/spreadsheetml/2006/main" count="112" uniqueCount="100">
  <si>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Sun Hung Kai Properties Limited (0016.HK)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</si>
  <si>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</si>
  <si>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</si>
  <si>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</si>
  <si>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</si>
  <si>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</si>
  <si>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</si>
  <si>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</si>
  <si>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</si>
  <si>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</si>
  <si>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</si>
  <si>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</si>
  <si>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</si>
  <si>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</si>
  <si>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</si>
  <si>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</si>
  <si>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</si>
  <si>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</si>
  <si>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</si>
  <si>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</si>
  <si>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</si>
  <si>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</si>
  <si>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</si>
  <si>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</si>
  <si>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</si>
  <si>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</si>
  <si>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</si>
  <si>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</si>
  <si>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</si>
  <si>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</si>
  <si>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2024-06-30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</si>
  <si>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</si>
  <si>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</si>
  <si>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</si>
  <si>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</si>
  <si>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</si>
  <si>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</si>
  <si>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</si>
  <si>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</si>
  <si>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</si>
  <si>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</si>
  <si>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</si>
  <si>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</si>
  <si>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</si>
  <si>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</si>
  <si>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</si>
  <si>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</si>
  <si>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</si>
  <si>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</si>
  <si>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</si>
  <si>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</si>
  <si>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</si>
  <si>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</si>
  <si>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</si>
  <si>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</si>
  <si>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</si>
  <si>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</si>
  <si>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</si>
  <si>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</si>
  <si>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</si>
  <si>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</si>
  <si>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</si>
  <si>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</si>
  <si>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</si>
  <si>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</si>
  <si>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</si>
  <si>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</si>
  <si>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</si>
  <si>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</si>
  <si>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</si>
  <si>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</si>
  <si>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</si>
  <si>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</si>
  <si>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</si>
  <si>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</si>
  <si>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</si>
  <si>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</si>
  <si>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</si>
  <si>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</si>
  <si>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</si>
  <si>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</si>
  <si>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</si>
  <si>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</si>
  <si>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</si>
  <si>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</si>
  <si>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</si>
  <si>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</si>
  <si>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</si>
  <si>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</si>
  <si>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</si>
  <si>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</si>
  <si>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</si>
  <si>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</si>
  <si>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</si>
  <si>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</si>
  <si>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</si>
  <si>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</si>
  <si>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Only 3 year(s) of history available to anchor assumptions on.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</si>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</sst>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-0.04097611803510515</v>
      </c>
    </row>
    <row r="7" spans="1:2" x14ac:dyDescent="0.25">
      <c r="A7" t="s">
        <v>5</v>
      </c>
      <c r="B7" s="6">
        <v>0.38397569865067505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0.05030497195492905</v>
      </c>
    </row>
    <row r="10" spans="1:2" x14ac:dyDescent="0.25">
      <c r="A10" t="s">
        <v>8</v>
      </c>
      <c r="B10" s="6">
        <v>0.059817063647367975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14.744556177305704</v>
      </c>
    </row>
    <row r="14" spans="1:3" x14ac:dyDescent="0.25">
      <c r="A14" t="s">
        <v>12</v>
      </c>
      <c r="B14" s="6">
        <v>0.07447091905017227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0.89012</v>
      </c>
      <c r="C19" s="8" t="s">
        <v>19</v>
      </c>
    </row>
    <row r="20" spans="1:2" x14ac:dyDescent="0.25">
      <c r="A20" t="s">
        <v>20</v>
      </c>
      <c r="B20" s="10">
        <f>B17+B19*B18</f>
        <v>0.09430840000000001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312090918912</v>
      </c>
    </row>
    <row r="23" spans="1:2" x14ac:dyDescent="0.25">
      <c r="A23" t="s">
        <v>24</v>
      </c>
      <c r="B23" s="11">
        <v>129654000000</v>
      </c>
    </row>
    <row r="24" spans="1:2" x14ac:dyDescent="0.25">
      <c r="A24" t="s">
        <v>25</v>
      </c>
      <c r="B24" s="10">
        <f>B22/(B22+B23)</f>
        <v>0.7064957751651505</v>
      </c>
    </row>
    <row r="25" spans="1:2" x14ac:dyDescent="0.25">
      <c r="A25" t="s">
        <v>26</v>
      </c>
      <c r="B25" s="10">
        <f>1-B24</f>
        <v>0.2935042248348495</v>
      </c>
    </row>
    <row r="26" spans="1:2" x14ac:dyDescent="0.25">
      <c r="A26" t="s">
        <v>27</v>
      </c>
      <c r="B26" s="12">
        <f>B24*B20+B25*B21*(1-B8)</f>
        <v>0.07447091905017227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71506000000</v>
      </c>
      <c r="C29" s="8" t="s">
        <v>30</v>
      </c>
    </row>
    <row r="30" spans="1:2" x14ac:dyDescent="0.25">
      <c r="A30" t="s">
        <v>31</v>
      </c>
      <c r="B30" s="11">
        <v>112685000000</v>
      </c>
    </row>
    <row r="31" spans="1:2" x14ac:dyDescent="0.25">
      <c r="A31" t="s">
        <v>32</v>
      </c>
      <c r="B31" s="13">
        <v>2897780274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-0.04097611803510515</v>
      </c>
      <c r="C5" s="10">
        <f>Assumptions!B6</f>
        <v>-0.04097611803510515</v>
      </c>
      <c r="D5" s="10">
        <f>Assumptions!B6</f>
        <v>-0.04097611803510515</v>
      </c>
      <c r="E5" s="10">
        <f>Assumptions!B6</f>
        <v>-0.04097611803510515</v>
      </c>
      <c r="F5" s="10">
        <f>Assumptions!B6</f>
        <v>-0.04097611803510515</v>
      </c>
    </row>
    <row r="6" spans="1:6" x14ac:dyDescent="0.25">
      <c r="A6" t="s">
        <v>43</v>
      </c>
      <c r="B6" s="18">
        <f>Assumptions!B29*(1+B5)</f>
        <v>68575961703.78177</v>
      </c>
      <c r="C6" s="18">
        <f>B6*(1+C5)</f>
        <v>65765985002.63676</v>
      </c>
      <c r="D6" s="18">
        <f>C6*(1+D5)</f>
        <v>63071150238.473755</v>
      </c>
      <c r="E6" s="18">
        <f>D6*(1+E5)</f>
        <v>60486739341.69221</v>
      </c>
      <c r="F6" s="18">
        <f>E6*(1+F5)</f>
        <v>58008227570.86839</v>
      </c>
    </row>
    <row r="7" spans="1:6" x14ac:dyDescent="0.25">
      <c r="A7" t="s">
        <v>5</v>
      </c>
      <c r="B7" s="10">
        <f>Assumptions!B7</f>
        <v>0.38397569865067505</v>
      </c>
      <c r="C7" s="10">
        <f>Assumptions!B7</f>
        <v>0.38397569865067505</v>
      </c>
      <c r="D7" s="10">
        <f>Assumptions!B7</f>
        <v>0.38397569865067505</v>
      </c>
      <c r="E7" s="10">
        <f>Assumptions!B7</f>
        <v>0.38397569865067505</v>
      </c>
      <c r="F7" s="10">
        <f>Assumptions!B7</f>
        <v>0.38397569865067505</v>
      </c>
    </row>
    <row r="8" spans="1:6" x14ac:dyDescent="0.25">
      <c r="A8" t="s">
        <v>44</v>
      </c>
      <c r="B8" s="18">
        <f>B6*B7</f>
        <v>26331502805.85154</v>
      </c>
      <c r="C8" s="18">
        <f>C6*C7</f>
        <v>25252540038.837265</v>
      </c>
      <c r="D8" s="18">
        <f>D6*D7</f>
        <v>24217788977.51965</v>
      </c>
      <c r="E8" s="18">
        <f>E6*E7</f>
        <v>23225437997.827538</v>
      </c>
      <c r="F8" s="18">
        <f>F6*F7</f>
        <v>22273749709.011543</v>
      </c>
    </row>
    <row r="9" spans="1:6" x14ac:dyDescent="0.25">
      <c r="A9" t="s">
        <v>45</v>
      </c>
      <c r="B9" s="18">
        <f>B8*(1-Assumptions!B8)</f>
        <v>21986804842.886036</v>
      </c>
      <c r="C9" s="18">
        <f>C8*(1-Assumptions!B8)</f>
        <v>21085870932.429115</v>
      </c>
      <c r="D9" s="18">
        <f>D8*(1-Assumptions!B8)</f>
        <v>20221853796.228905</v>
      </c>
      <c r="E9" s="18">
        <f>E8*(1-Assumptions!B8)</f>
        <v>19393240728.185993</v>
      </c>
      <c r="F9" s="18">
        <f>F8*(1-Assumptions!B8)</f>
        <v>18598581007.02464</v>
      </c>
    </row>
    <row r="10" spans="1:6" x14ac:dyDescent="0.25">
      <c r="A10" t="s">
        <v>46</v>
      </c>
      <c r="B10" s="18">
        <f>B6*Assumptions!B9</f>
        <v>3449711830.2910304</v>
      </c>
      <c r="C10" s="18">
        <f>C6*Assumptions!B9</f>
        <v>3308356031.1459265</v>
      </c>
      <c r="D10" s="18">
        <f>D6*Assumptions!B9</f>
        <v>3172792443.911539</v>
      </c>
      <c r="E10" s="18">
        <f>E6*Assumptions!B9</f>
        <v>3042783726.22893</v>
      </c>
      <c r="F10" s="18">
        <f>F6*Assumptions!B9</f>
        <v>2918102261.1076765</v>
      </c>
    </row>
    <row r="11" spans="1:6" x14ac:dyDescent="0.25">
      <c r="A11" t="s">
        <v>47</v>
      </c>
      <c r="B11" s="18">
        <f>-B6*Assumptions!B10</f>
        <v>-4102012665.9145827</v>
      </c>
      <c r="C11" s="18">
        <f>-C6*Assumptions!B10</f>
        <v>-3933928110.7345705</v>
      </c>
      <c r="D11" s="18">
        <f>-D6*Assumptions!B10</f>
        <v>-3772731008.1274924</v>
      </c>
      <c r="E11" s="18">
        <f>-E6*Assumptions!B10</f>
        <v>-3618139137.0237594</v>
      </c>
      <c r="F11" s="18">
        <f>-F6*Assumptions!B10</f>
        <v>-3469881840.6776404</v>
      </c>
    </row>
    <row r="12" spans="1:6" x14ac:dyDescent="0.25">
      <c r="A12" t="s">
        <v>48</v>
      </c>
      <c r="B12" s="18">
        <f>-(B6-Assumptions!B29)*Assumptions!B11</f>
        <v>-2930038296.218231</v>
      </c>
      <c r="C12" s="18">
        <f>-(C6-B6)*Assumptions!B11</f>
        <v>-2809976701.145012</v>
      </c>
      <c r="D12" s="18">
        <f>-(D6-C6)*Assumptions!B11</f>
        <v>-2694834764.163002</v>
      </c>
      <c r="E12" s="18">
        <f>-(E6-D6)*Assumptions!B11</f>
        <v>-2584410896.7815475</v>
      </c>
      <c r="F12" s="18">
        <f>-(F6-E6)*Assumptions!B11</f>
        <v>-2478511770.8238144</v>
      </c>
    </row>
    <row r="13" spans="1:6" x14ac:dyDescent="0.25">
      <c r="A13" s="19" t="s">
        <v>49</v>
      </c>
      <c r="B13" s="20">
        <f>B9+B10+B11+B12</f>
        <v>18404465711.044254</v>
      </c>
      <c r="C13" s="20">
        <f>C9+C10+C11+C12</f>
        <v>17650322151.69546</v>
      </c>
      <c r="D13" s="20">
        <f>D9+D10+D11+D12</f>
        <v>16927080467.849949</v>
      </c>
      <c r="E13" s="20">
        <f>E9+E10+E11+E12</f>
        <v>16233474420.60962</v>
      </c>
      <c r="F13" s="20">
        <f>F9+F10+F11+F12</f>
        <v>15568289656.630863</v>
      </c>
    </row>
    <row r="14" spans="1:6" x14ac:dyDescent="0.25">
      <c r="A14" t="s">
        <v>50</v>
      </c>
      <c r="B14" s="21">
        <f>1/(1+Assumptions!$B$26)^(1-0.5*Assumptions!$B$32)</f>
        <v>0.9647230766291426</v>
      </c>
      <c r="C14" s="21">
        <f>1/(1+Assumptions!$B$26)^(2-0.5*Assumptions!$B$32)</f>
        <v>0.8978587130882552</v>
      </c>
      <c r="D14" s="21">
        <f>1/(1+Assumptions!$B$26)^(3-0.5*Assumptions!$B$32)</f>
        <v>0.8356286774908329</v>
      </c>
      <c r="E14" s="21">
        <f>1/(1+Assumptions!$B$26)^(4-0.5*Assumptions!$B$32)</f>
        <v>0.777711767415283</v>
      </c>
      <c r="F14" s="21">
        <f>1/(1+Assumptions!$B$26)^(5-0.5*Assumptions!$B$32)</f>
        <v>0.7238090427824486</v>
      </c>
    </row>
    <row r="15" spans="1:6" x14ac:dyDescent="0.25">
      <c r="A15" s="19" t="s">
        <v>51</v>
      </c>
      <c r="B15" s="20">
        <f>B13*B14</f>
        <v>17755212784.474174</v>
      </c>
      <c r="C15" s="20">
        <f>C13*C14</f>
        <v>15847495532.714409</v>
      </c>
      <c r="D15" s="20">
        <f>D13*D14</f>
        <v>14144753865.130362</v>
      </c>
      <c r="E15" s="20">
        <f>E13*E14</f>
        <v>12624964082.943094</v>
      </c>
      <c r="F15" s="20">
        <f>F13*F14</f>
        <v>11268468834.125881</v>
      </c>
    </row>
    <row r="17" spans="1:2" x14ac:dyDescent="0.25">
      <c r="A17" s="22" t="s">
        <v>52</v>
      </c>
      <c r="B17" s="23">
        <f>SUM(B15:F15)</f>
        <v>71640895099.38792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15568289656.630863</v>
      </c>
    </row>
    <row r="5" spans="1:2" x14ac:dyDescent="0.25">
      <c r="A5" t="s">
        <v>56</v>
      </c>
      <c r="B5" s="18">
        <f>IF(Assumptions!$B$33=0,B4,B4-Forecast!F11-Forecast!F10-Forecast!F12)</f>
        <v>19075364324.664505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0.335701510319177</v>
      </c>
    </row>
    <row r="7" spans="1:2" x14ac:dyDescent="0.25">
      <c r="A7" t="s">
        <v>58</v>
      </c>
      <c r="B7" s="18">
        <f>-MAX(Forecast!F9,0)*B6</f>
        <v>-6403628613.678422</v>
      </c>
    </row>
    <row r="8" spans="1:2" x14ac:dyDescent="0.25">
      <c r="A8" t="s">
        <v>59</v>
      </c>
      <c r="B8" s="18">
        <f>IF(OR(Assumptions!$B$33=0,Assumptions!B12&lt;=0),B5,MAX(B5+B7,0))</f>
        <v>12671735710.986084</v>
      </c>
    </row>
    <row r="9" spans="1:2" x14ac:dyDescent="0.25">
      <c r="A9" t="s">
        <v>60</v>
      </c>
      <c r="B9" s="18">
        <f>B8*(1+Assumptions!B12)/(Assumptions!B26-Assumptions!B12)</f>
        <v>262548773160.8153</v>
      </c>
    </row>
    <row r="10" spans="1:2" x14ac:dyDescent="0.25">
      <c r="A10" t="s">
        <v>61</v>
      </c>
      <c r="B10" s="18">
        <f>B9/(1+Assumptions!B26)^(5-0.5*Assumptions!B32)</f>
        <v>190035176185.23596</v>
      </c>
    </row>
    <row r="11" spans="1:2" x14ac:dyDescent="0.25">
      <c r="A11" t="s">
        <v>62</v>
      </c>
      <c r="B11" s="18">
        <f>Forecast!B17+B10</f>
        <v>261676071284.6239</v>
      </c>
    </row>
    <row r="12" spans="1:2" x14ac:dyDescent="0.25">
      <c r="A12" t="s">
        <v>63</v>
      </c>
      <c r="B12" s="18">
        <f>-Assumptions!B30</f>
        <v>-112685000000</v>
      </c>
    </row>
    <row r="13" spans="1:2" x14ac:dyDescent="0.25">
      <c r="A13" t="s">
        <v>64</v>
      </c>
      <c r="B13" s="18">
        <f>B11+B12</f>
        <v>148991071284.6239</v>
      </c>
    </row>
    <row r="14" spans="1:2" x14ac:dyDescent="0.25">
      <c r="A14" s="19" t="s">
        <v>65</v>
      </c>
      <c r="B14" s="24">
        <f>B13/Assumptions!B31</f>
        <v>51.41558613723378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25191851970.11922</v>
      </c>
    </row>
    <row r="18" spans="1:2" x14ac:dyDescent="0.25">
      <c r="A18" t="s">
        <v>60</v>
      </c>
      <c r="B18" s="18">
        <f>B17*Assumptions!B13</f>
        <v>371442676583.79224</v>
      </c>
    </row>
    <row r="19" spans="1:2" x14ac:dyDescent="0.25">
      <c r="A19" t="s">
        <v>61</v>
      </c>
      <c r="B19" s="18">
        <f>B18/(1+Assumptions!B26)^(5-0.5*Assumptions!B32)</f>
        <v>268853568186.6653</v>
      </c>
    </row>
    <row r="20" spans="1:2" x14ac:dyDescent="0.25">
      <c r="A20" t="s">
        <v>62</v>
      </c>
      <c r="B20" s="18">
        <f>Forecast!B17+B19</f>
        <v>340494463286.0532</v>
      </c>
    </row>
    <row r="21" spans="1:2" x14ac:dyDescent="0.25">
      <c r="A21" t="s">
        <v>63</v>
      </c>
      <c r="B21" s="18">
        <f>-Assumptions!B30</f>
        <v>-112685000000</v>
      </c>
    </row>
    <row r="22" spans="1:2" x14ac:dyDescent="0.25">
      <c r="A22" t="s">
        <v>64</v>
      </c>
      <c r="B22" s="18">
        <f>B20+B21</f>
        <v>227809463286.05322</v>
      </c>
    </row>
    <row r="23" spans="1:2" x14ac:dyDescent="0.25">
      <c r="A23" s="19" t="s">
        <v>65</v>
      </c>
      <c r="B23" s="25">
        <f>B22/Assumptions!B31</f>
        <v>78.61516117355322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107.7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51.41558613723378</v>
      </c>
    </row>
    <row r="29" spans="1:2" x14ac:dyDescent="0.25">
      <c r="A29" s="19" t="s">
        <v>73</v>
      </c>
      <c r="B29" s="12">
        <f>B28/B26-1</f>
        <v>-0.5226036570358981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0.054471</v>
      </c>
      <c r="B5" s="31">
        <v>83.54086523920178</v>
      </c>
      <c r="C5" s="31">
        <v>84.01680957686419</v>
      </c>
      <c r="D5" s="31">
        <v>84.49275391452656</v>
      </c>
      <c r="E5" s="31">
        <v>84.96869825218897</v>
      </c>
      <c r="F5" s="31">
        <v>85.44464258985134</v>
      </c>
    </row>
    <row r="6" spans="1:6" x14ac:dyDescent="0.25">
      <c r="A6" s="30">
        <v>0.064471</v>
      </c>
      <c r="B6" s="31">
        <v>64.60550198868145</v>
      </c>
      <c r="C6" s="31">
        <v>64.99090112188992</v>
      </c>
      <c r="D6" s="31">
        <v>65.3763002550984</v>
      </c>
      <c r="E6" s="31">
        <v>65.7616993883069</v>
      </c>
      <c r="F6" s="31">
        <v>66.14709852151535</v>
      </c>
    </row>
    <row r="7" spans="1:6" x14ac:dyDescent="0.25">
      <c r="A7" s="30">
        <v>0.074471</v>
      </c>
      <c r="B7" s="31">
        <v>50.77568864064014</v>
      </c>
      <c r="C7" s="31">
        <v>51.095588512218406</v>
      </c>
      <c r="D7" s="32">
        <v>51.415488383796635</v>
      </c>
      <c r="E7" s="31">
        <v>51.735388255374865</v>
      </c>
      <c r="F7" s="31">
        <v>52.055288126953116</v>
      </c>
    </row>
    <row r="8" spans="1:6" x14ac:dyDescent="0.25">
      <c r="A8" s="30">
        <v>0.084471</v>
      </c>
      <c r="B8" s="31">
        <v>40.23696056709421</v>
      </c>
      <c r="C8" s="31">
        <v>40.507474111677894</v>
      </c>
      <c r="D8" s="31">
        <v>40.77798765626155</v>
      </c>
      <c r="E8" s="31">
        <v>41.04850120084524</v>
      </c>
      <c r="F8" s="31">
        <v>41.3190147454289</v>
      </c>
    </row>
    <row r="9" spans="1:6" x14ac:dyDescent="0.25">
      <c r="A9" s="30">
        <v>0.094471</v>
      </c>
      <c r="B9" s="31">
        <v>31.94319404900371</v>
      </c>
      <c r="C9" s="31">
        <v>32.17528580673626</v>
      </c>
      <c r="D9" s="31">
        <v>32.40737756446879</v>
      </c>
      <c r="E9" s="31">
        <v>32.63946932220135</v>
      </c>
      <c r="F9" s="31">
        <v>32.87156107993387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71506000000</v>
      </c>
      <c r="C5" s="18">
        <v>71195000000</v>
      </c>
      <c r="D5" s="18">
        <v>77747000000</v>
      </c>
      <c r="E5" s="8" t="s">
        <v>83</v>
      </c>
    </row>
    <row r="6" spans="1:5" x14ac:dyDescent="0.25">
      <c r="A6" t="s">
        <v>44</v>
      </c>
      <c r="B6" s="18">
        <v>24986000000</v>
      </c>
      <c r="C6" s="18">
        <v>27134000000</v>
      </c>
      <c r="D6" s="18">
        <v>32761000000</v>
      </c>
      <c r="E6" s="8" t="s">
        <v>84</v>
      </c>
    </row>
    <row r="7" spans="1:5" x14ac:dyDescent="0.25">
      <c r="A7" t="s">
        <v>85</v>
      </c>
      <c r="B7" s="18">
        <v>3823000000</v>
      </c>
      <c r="C7" s="18">
        <v>3624000000</v>
      </c>
      <c r="D7" s="18">
        <v>3619000000</v>
      </c>
      <c r="E7" s="8" t="s">
        <v>86</v>
      </c>
    </row>
    <row r="8" spans="1:5" x14ac:dyDescent="0.25">
      <c r="A8" t="s">
        <v>87</v>
      </c>
      <c r="B8" s="18">
        <v>4621000000</v>
      </c>
      <c r="C8" s="18">
        <v>4482000000</v>
      </c>
      <c r="D8" s="18">
        <v>4033000000</v>
      </c>
      <c r="E8" s="8" t="s">
        <v>88</v>
      </c>
    </row>
    <row r="9" spans="1:5" x14ac:dyDescent="0.25">
      <c r="A9" t="s">
        <v>89</v>
      </c>
      <c r="B9" s="18">
        <v>-2259000000</v>
      </c>
      <c r="C9" s="18">
        <v>-1565000000</v>
      </c>
      <c r="D9" s="18">
        <v>15342000000</v>
      </c>
      <c r="E9" s="8" t="s">
        <v>90</v>
      </c>
    </row>
    <row r="10" spans="1:5" x14ac:dyDescent="0.25">
      <c r="A10" t="s">
        <v>91</v>
      </c>
      <c r="B10" s="18">
        <v>129654000000</v>
      </c>
      <c r="C10" s="18">
        <v>128054000000</v>
      </c>
      <c r="D10" s="18">
        <v>126772000000</v>
      </c>
      <c r="E10" s="8" t="s">
        <v>92</v>
      </c>
    </row>
    <row r="11" spans="1:5" x14ac:dyDescent="0.25">
      <c r="A11" t="s">
        <v>93</v>
      </c>
      <c r="B11" s="18">
        <v>16969000000</v>
      </c>
      <c r="C11" s="18">
        <v>15890000000</v>
      </c>
      <c r="D11" s="18">
        <v>21021000000</v>
      </c>
      <c r="E11" s="8" t="s">
        <v>94</v>
      </c>
    </row>
    <row r="12" spans="1:5" x14ac:dyDescent="0.25">
      <c r="A12" t="s">
        <v>32</v>
      </c>
      <c r="B12" s="34">
        <v>2897780274</v>
      </c>
      <c r="C12" s="34">
        <v>2897780274</v>
      </c>
      <c r="D12" s="34">
        <v>2898000000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9" spans="1:1" x14ac:dyDescent="0.25">
      <c r="A19" s="36" t="s">
        <v>99</v>
      </c>
    </row>
  </sheetData>
  <mergeCells count="2">
    <mergeCell ref="A16:E16"/>
    <mergeCell ref="A17:E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