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<sst xmlns="http://schemas.openxmlformats.org/spreadsheetml/2006/main" count="113" uniqueCount="101">
  <si>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Galaxy Entertainment Group Limited (0027.HK)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</si>
  <si>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</si>
  <si>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</si>
  <si>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</si>
  <si>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</si>
  <si>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</si>
  <si>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</si>
  <si>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</si>
  <si>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</si>
  <si>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</si>
  <si>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</si>
  <si>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</si>
  <si>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</si>
  <si>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</si>
  <si>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</si>
  <si>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</si>
  <si>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</si>
  <si>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</si>
  <si>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</si>
  <si>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</si>
  <si>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</si>
  <si>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</si>
  <si>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</si>
  <si>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</si>
  <si>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</si>
  <si>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</si>
  <si>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</si>
  <si>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</si>
  <si>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</si>
  <si>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</si>
  <si>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</si>
  <si>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</si>
  <si>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</si>
  <si>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</si>
  <si>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</si>
  <si>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</si>
  <si>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</si>
  <si>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</si>
  <si>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</si>
  <si>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</si>
  <si>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</si>
  <si>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</si>
  <si>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</si>
  <si>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</si>
  <si>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</si>
  <si>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</si>
  <si>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</si>
  <si>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</si>
  <si>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</si>
  <si>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</si>
  <si>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</si>
  <si>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</si>
  <si>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</si>
  <si>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</si>
  <si>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</si>
  <si>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</si>
  <si>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</si>
  <si>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</si>
  <si>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</si>
  <si>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</si>
  <si>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</si>
  <si>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</si>
  <si>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</si>
  <si>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</si>
  <si>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</si>
  <si>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</si>
  <si>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</si>
  <si>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</si>
  <si>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</si>
  <si>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</si>
  <si>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</si>
  <si>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</si>
  <si>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</si>
  <si>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</si>
  <si>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</si>
  <si>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</si>
  <si>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</si>
  <si>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</si>
  <si>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</si>
  <si>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</si>
  <si>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</si>
  <si>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</si>
  <si>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</si>
  <si>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</si>
  <si>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</si>
  <si>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</si>
  <si>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</si>
  <si>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</si>
  <si>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</si>
  <si>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</si>
  <si>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</si>
  <si>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</si>
  <si>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</si>
  <si>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</si>
  <si>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</si>
  <si>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</si>
  <si>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</si>
  <si>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</si>
  <si>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19.8% of revenue against depreciation of 10.5%.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</si>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</sst>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0.0651259412578947</v>
      </c>
    </row>
    <row r="8" spans="1:2" x14ac:dyDescent="0.25">
      <c r="A8" t="s">
        <v>6</v>
      </c>
      <c r="B8" s="6">
        <v>0.01692662341594868</v>
      </c>
    </row>
    <row r="9" spans="1:2" x14ac:dyDescent="0.25">
      <c r="A9" t="s">
        <v>7</v>
      </c>
      <c r="B9" s="6">
        <v>0.10512926484837698</v>
      </c>
    </row>
    <row r="10" spans="1:2" x14ac:dyDescent="0.25">
      <c r="A10" t="s">
        <v>8</v>
      </c>
      <c r="B10" s="6">
        <v>0.19844588547337128</v>
      </c>
    </row>
    <row r="11" spans="1:2" x14ac:dyDescent="0.25">
      <c r="A11" t="s">
        <v>9</v>
      </c>
      <c r="B11" s="6">
        <v>-0.09334642960108978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9.537500379709126</v>
      </c>
    </row>
    <row r="14" spans="1:3" x14ac:dyDescent="0.25">
      <c r="A14" t="s">
        <v>12</v>
      </c>
      <c r="B14" s="6">
        <v>0.09651955119819067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0.7045300000000001</v>
      </c>
      <c r="C19" s="8" t="s">
        <v>19</v>
      </c>
    </row>
    <row r="20" spans="1:2" x14ac:dyDescent="0.25">
      <c r="A20" t="s">
        <v>20</v>
      </c>
      <c r="B20" s="10">
        <f>B17+B19*B18</f>
        <v>0.0813171</v>
      </c>
    </row>
    <row r="21" spans="1:3" x14ac:dyDescent="0.25">
      <c r="A21" t="s">
        <v>21</v>
      </c>
      <c r="B21" s="6">
        <v>0.046303726959015565</v>
      </c>
      <c r="C21" s="8" t="s">
        <v>22</v>
      </c>
    </row>
    <row r="22" spans="1:2" x14ac:dyDescent="0.25">
      <c r="A22" t="s">
        <v>23</v>
      </c>
      <c r="B22" s="11">
        <v>142850834432</v>
      </c>
    </row>
    <row r="23" spans="1:2" x14ac:dyDescent="0.25">
      <c r="A23" t="s">
        <v>24</v>
      </c>
      <c r="B23" s="11">
        <v>2037282000</v>
      </c>
    </row>
    <row r="24" spans="1:2" x14ac:dyDescent="0.25">
      <c r="A24" t="s">
        <v>25</v>
      </c>
      <c r="B24" s="10">
        <f>B22/(B22+B23)</f>
        <v>0.9859389296363987</v>
      </c>
    </row>
    <row r="25" spans="1:2" x14ac:dyDescent="0.25">
      <c r="A25" t="s">
        <v>26</v>
      </c>
      <c r="B25" s="10">
        <f>1-B24</f>
        <v>0.014061070363601269</v>
      </c>
    </row>
    <row r="26" spans="1:2" x14ac:dyDescent="0.25">
      <c r="A26" t="s">
        <v>27</v>
      </c>
      <c r="B26" s="12">
        <f>B24*B20+B25*B21*(1-B8)</f>
        <v>0.08081375391265858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49242325000</v>
      </c>
      <c r="C29" s="8" t="s">
        <v>30</v>
      </c>
    </row>
    <row r="30" spans="1:2" x14ac:dyDescent="0.25">
      <c r="A30" t="s">
        <v>31</v>
      </c>
      <c r="B30" s="11">
        <v>-14887632000</v>
      </c>
    </row>
    <row r="31" spans="1:2" x14ac:dyDescent="0.25">
      <c r="A31" t="s">
        <v>32</v>
      </c>
      <c r="B31" s="13">
        <v>4381333435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73863487500</v>
      </c>
      <c r="C6" s="18">
        <f>B6*(1+C5)</f>
        <v>110795231250</v>
      </c>
      <c r="D6" s="18">
        <f>C6*(1+D5)</f>
        <v>166192846875</v>
      </c>
      <c r="E6" s="18">
        <f>D6*(1+E5)</f>
        <v>249289270312.5</v>
      </c>
      <c r="F6" s="18">
        <f>E6*(1+F5)</f>
        <v>373933905468.75</v>
      </c>
    </row>
    <row r="7" spans="1:6" x14ac:dyDescent="0.25">
      <c r="A7" t="s">
        <v>5</v>
      </c>
      <c r="B7" s="10">
        <f>Assumptions!B7</f>
        <v>0.0651259412578947</v>
      </c>
      <c r="C7" s="10">
        <f>Assumptions!B7</f>
        <v>0.0651259412578947</v>
      </c>
      <c r="D7" s="10">
        <f>Assumptions!B7</f>
        <v>0.0651259412578947</v>
      </c>
      <c r="E7" s="10">
        <f>Assumptions!B7</f>
        <v>0.0651259412578947</v>
      </c>
      <c r="F7" s="10">
        <f>Assumptions!B7</f>
        <v>0.0651259412578947</v>
      </c>
    </row>
    <row r="8" spans="1:6" x14ac:dyDescent="0.25">
      <c r="A8" t="s">
        <v>44</v>
      </c>
      <c r="B8" s="18">
        <f>B6*B7</f>
        <v>4810429148.028239</v>
      </c>
      <c r="C8" s="18">
        <f>C6*C7</f>
        <v>7215643722.042359</v>
      </c>
      <c r="D8" s="18">
        <f>D6*D7</f>
        <v>10823465583.063538</v>
      </c>
      <c r="E8" s="18">
        <f>E6*E7</f>
        <v>16235198374.595308</v>
      </c>
      <c r="F8" s="18">
        <f>F6*F7</f>
        <v>24352797561.892963</v>
      </c>
    </row>
    <row r="9" spans="1:6" x14ac:dyDescent="0.25">
      <c r="A9" t="s">
        <v>45</v>
      </c>
      <c r="B9" s="18">
        <f>B8*(1-Assumptions!B8)</f>
        <v>4729004825.370462</v>
      </c>
      <c r="C9" s="18">
        <f>C8*(1-Assumptions!B8)</f>
        <v>7093507238.055695</v>
      </c>
      <c r="D9" s="18">
        <f>D8*(1-Assumptions!B8)</f>
        <v>10640260857.08354</v>
      </c>
      <c r="E9" s="18">
        <f>E8*(1-Assumptions!B8)</f>
        <v>15960391285.625313</v>
      </c>
      <c r="F9" s="18">
        <f>F8*(1-Assumptions!B8)</f>
        <v>23940586928.43797</v>
      </c>
    </row>
    <row r="10" spans="1:6" x14ac:dyDescent="0.25">
      <c r="A10" t="s">
        <v>46</v>
      </c>
      <c r="B10" s="18">
        <f>B6*Assumptions!B9</f>
        <v>7765214140.012282</v>
      </c>
      <c r="C10" s="18">
        <f>C6*Assumptions!B9</f>
        <v>11647821210.018423</v>
      </c>
      <c r="D10" s="18">
        <f>D6*Assumptions!B9</f>
        <v>17471731815.027634</v>
      </c>
      <c r="E10" s="18">
        <f>E6*Assumptions!B9</f>
        <v>26207597722.541454</v>
      </c>
      <c r="F10" s="18">
        <f>F6*Assumptions!B9</f>
        <v>39311396583.81218</v>
      </c>
    </row>
    <row r="11" spans="1:6" x14ac:dyDescent="0.25">
      <c r="A11" t="s">
        <v>47</v>
      </c>
      <c r="B11" s="18">
        <f>-B6*Assumptions!B10</f>
        <v>-14657905181.08879</v>
      </c>
      <c r="C11" s="18">
        <f>-C6*Assumptions!B10</f>
        <v>-21986857771.633186</v>
      </c>
      <c r="D11" s="18">
        <f>-D6*Assumptions!B10</f>
        <v>-32980286657.44978</v>
      </c>
      <c r="E11" s="18">
        <f>-E6*Assumptions!B10</f>
        <v>-49470429986.17467</v>
      </c>
      <c r="F11" s="18">
        <f>-F6*Assumptions!B10</f>
        <v>-74205644979.26201</v>
      </c>
    </row>
    <row r="12" spans="1:6" x14ac:dyDescent="0.25">
      <c r="A12" t="s">
        <v>48</v>
      </c>
      <c r="B12" s="18">
        <f>-(B6-Assumptions!B29)*Assumptions!B11</f>
        <v>2298297612.0032415</v>
      </c>
      <c r="C12" s="18">
        <f>-(C6-B6)*Assumptions!B11</f>
        <v>3447446418.004863</v>
      </c>
      <c r="D12" s="18">
        <f>-(D6-C6)*Assumptions!B11</f>
        <v>5171169627.007294</v>
      </c>
      <c r="E12" s="18">
        <f>-(E6-D6)*Assumptions!B11</f>
        <v>7756754440.510941</v>
      </c>
      <c r="F12" s="18">
        <f>-(F6-E6)*Assumptions!B11</f>
        <v>11635131660.76641</v>
      </c>
    </row>
    <row r="13" spans="1:6" x14ac:dyDescent="0.25">
      <c r="A13" s="19" t="s">
        <v>49</v>
      </c>
      <c r="B13" s="20">
        <f>B9+B10+B11+B12</f>
        <v>134611396.29719448</v>
      </c>
      <c r="C13" s="20">
        <f>C9+C10+C11+C12</f>
        <v>201917094.445796</v>
      </c>
      <c r="D13" s="20">
        <f>D9+D10+D11+D12</f>
        <v>302875641.6686897</v>
      </c>
      <c r="E13" s="20">
        <f>E9+E10+E11+E12</f>
        <v>454313462.5030365</v>
      </c>
      <c r="F13" s="20">
        <f>F9+F10+F11+F12</f>
        <v>681470193.7545547</v>
      </c>
    </row>
    <row r="14" spans="1:6" x14ac:dyDescent="0.25">
      <c r="A14" t="s">
        <v>50</v>
      </c>
      <c r="B14" s="21">
        <f>1/(1+Assumptions!$B$26)^(1-0.5*Assumptions!$B$32)</f>
        <v>0.9618881371462749</v>
      </c>
      <c r="C14" s="21">
        <f>1/(1+Assumptions!$B$26)^(2-0.5*Assumptions!$B$32)</f>
        <v>0.8899665956915699</v>
      </c>
      <c r="D14" s="21">
        <f>1/(1+Assumptions!$B$26)^(3-0.5*Assumptions!$B$32)</f>
        <v>0.8234227150328147</v>
      </c>
      <c r="E14" s="21">
        <f>1/(1+Assumptions!$B$26)^(4-0.5*Assumptions!$B$32)</f>
        <v>0.7618544009566297</v>
      </c>
      <c r="F14" s="21">
        <f>1/(1+Assumptions!$B$26)^(5-0.5*Assumptions!$B$32)</f>
        <v>0.7048896243211537</v>
      </c>
    </row>
    <row r="15" spans="1:6" x14ac:dyDescent="0.25">
      <c r="A15" s="19" t="s">
        <v>51</v>
      </c>
      <c r="B15" s="20">
        <f>B13*B14</f>
        <v>129481105.22296736</v>
      </c>
      <c r="C15" s="20">
        <f>C13*C14</f>
        <v>179699469.15585828</v>
      </c>
      <c r="D15" s="20">
        <f>D13*D14</f>
        <v>249394683.1801384</v>
      </c>
      <c r="E15" s="20">
        <f>E13*E14</f>
        <v>346120710.8217831</v>
      </c>
      <c r="F15" s="20">
        <f>F13*F14</f>
        <v>480361268.86171186</v>
      </c>
    </row>
    <row r="17" spans="1:2" x14ac:dyDescent="0.25">
      <c r="A17" s="22" t="s">
        <v>52</v>
      </c>
      <c r="B17" s="23">
        <f>SUM(B15:F15)</f>
        <v>1385057237.2424588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681470193.7545547</v>
      </c>
    </row>
    <row r="5" spans="1:2" x14ac:dyDescent="0.25">
      <c r="A5" t="s">
        <v>56</v>
      </c>
      <c r="B5" s="18">
        <f>IF(Assumptions!$B$33=0,B4,B4-Forecast!F11-Forecast!F10-Forecast!F12)</f>
        <v>27311430831.30279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0.25901488029783387</v>
      </c>
    </row>
    <row r="7" spans="1:2" x14ac:dyDescent="0.25">
      <c r="A7" t="s">
        <v>58</v>
      </c>
      <c r="B7" s="18">
        <f>-MAX(Forecast!F9,0)*B6</f>
        <v>-7074066987.532462</v>
      </c>
    </row>
    <row r="8" spans="1:2" x14ac:dyDescent="0.25">
      <c r="A8" t="s">
        <v>59</v>
      </c>
      <c r="B8" s="18">
        <f>IF(OR(Assumptions!$B$33=0,Assumptions!B12&lt;=0),B5,MAX(B5+B7,0))</f>
        <v>20237363843.77033</v>
      </c>
    </row>
    <row r="9" spans="1:2" x14ac:dyDescent="0.25">
      <c r="A9" t="s">
        <v>60</v>
      </c>
      <c r="B9" s="18">
        <f>B8*(1+Assumptions!B12)/(Assumptions!B26-Assumptions!B12)</f>
        <v>371652083683.9824</v>
      </c>
    </row>
    <row r="10" spans="1:2" x14ac:dyDescent="0.25">
      <c r="A10" t="s">
        <v>61</v>
      </c>
      <c r="B10" s="18">
        <f>B9/(1+Assumptions!B26)^(5-0.5*Assumptions!B32)</f>
        <v>261973697646.17633</v>
      </c>
    </row>
    <row r="11" spans="1:2" x14ac:dyDescent="0.25">
      <c r="A11" t="s">
        <v>62</v>
      </c>
      <c r="B11" s="18">
        <f>Forecast!B17+B10</f>
        <v>263358754883.4188</v>
      </c>
    </row>
    <row r="12" spans="1:2" x14ac:dyDescent="0.25">
      <c r="A12" t="s">
        <v>63</v>
      </c>
      <c r="B12" s="18">
        <f>-Assumptions!B30</f>
        <v>14887632000.00003</v>
      </c>
    </row>
    <row r="13" spans="1:2" x14ac:dyDescent="0.25">
      <c r="A13" t="s">
        <v>64</v>
      </c>
      <c r="B13" s="18">
        <f>B11+B12</f>
        <v>278246386883.4188</v>
      </c>
    </row>
    <row r="14" spans="1:2" x14ac:dyDescent="0.25">
      <c r="A14" s="19" t="s">
        <v>65</v>
      </c>
      <c r="B14" s="24">
        <f>B13/Assumptions!B31</f>
        <v>63.5072383810521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63664194145.70514</v>
      </c>
    </row>
    <row r="18" spans="1:2" x14ac:dyDescent="0.25">
      <c r="A18" t="s">
        <v>60</v>
      </c>
      <c r="B18" s="18">
        <f>B17*Assumptions!B13</f>
        <v>607197275838.5383</v>
      </c>
    </row>
    <row r="19" spans="1:2" x14ac:dyDescent="0.25">
      <c r="A19" t="s">
        <v>61</v>
      </c>
      <c r="B19" s="18">
        <f>B18/(1+Assumptions!B26)^(5-0.5*Assumptions!B32)</f>
        <v>428007059654.6552</v>
      </c>
    </row>
    <row r="20" spans="1:2" x14ac:dyDescent="0.25">
      <c r="A20" t="s">
        <v>62</v>
      </c>
      <c r="B20" s="18">
        <f>Forecast!B17+B19</f>
        <v>429392116891.89764</v>
      </c>
    </row>
    <row r="21" spans="1:2" x14ac:dyDescent="0.25">
      <c r="A21" t="s">
        <v>63</v>
      </c>
      <c r="B21" s="18">
        <f>-Assumptions!B30</f>
        <v>14887632000</v>
      </c>
    </row>
    <row r="22" spans="1:2" x14ac:dyDescent="0.25">
      <c r="A22" t="s">
        <v>64</v>
      </c>
      <c r="B22" s="18">
        <f>B20+B21</f>
        <v>444279748891.89764</v>
      </c>
    </row>
    <row r="23" spans="1:2" x14ac:dyDescent="0.25">
      <c r="A23" s="19" t="s">
        <v>65</v>
      </c>
      <c r="B23" s="25">
        <f>B22/Assumptions!B31</f>
        <v>101.4028618189151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32.62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63.5072383810521</v>
      </c>
    </row>
    <row r="29" spans="1:2" x14ac:dyDescent="0.25">
      <c r="A29" s="19" t="s">
        <v>73</v>
      </c>
      <c r="B29" s="12">
        <f>B28/B26-1</f>
        <v>0.9468803918164348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0.060814</v>
      </c>
      <c r="B5" s="31">
        <v>93.16169374875972</v>
      </c>
      <c r="C5" s="31">
        <v>98.42442359465619</v>
      </c>
      <c r="D5" s="31">
        <v>105.08748555722966</v>
      </c>
      <c r="E5" s="31">
        <v>113.83254971339835</v>
      </c>
      <c r="F5" s="31">
        <v>125.86942596879206</v>
      </c>
    </row>
    <row r="6" spans="1:6" x14ac:dyDescent="0.25">
      <c r="A6" s="30">
        <v>0.070814</v>
      </c>
      <c r="B6" s="31">
        <v>74.09454333196773</v>
      </c>
      <c r="C6" s="31">
        <v>76.63541934097687</v>
      </c>
      <c r="D6" s="31">
        <v>79.67909607336912</v>
      </c>
      <c r="E6" s="31">
        <v>83.41036332800645</v>
      </c>
      <c r="F6" s="31">
        <v>88.11720507299275</v>
      </c>
    </row>
    <row r="7" spans="1:6" x14ac:dyDescent="0.25">
      <c r="A7" s="30">
        <v>0.080814</v>
      </c>
      <c r="B7" s="31">
        <v>60.9479582322883</v>
      </c>
      <c r="C7" s="31">
        <v>62.14095435397169</v>
      </c>
      <c r="D7" s="32">
        <v>63.5069132610997</v>
      </c>
      <c r="E7" s="31">
        <v>65.09689257129095</v>
      </c>
      <c r="F7" s="31">
        <v>66.98423899179532</v>
      </c>
    </row>
    <row r="8" spans="1:6" x14ac:dyDescent="0.25">
      <c r="A8" s="30">
        <v>0.090814</v>
      </c>
      <c r="B8" s="31">
        <v>51.37272359423333</v>
      </c>
      <c r="C8" s="31">
        <v>51.844264153183666</v>
      </c>
      <c r="D8" s="31">
        <v>52.35427063699889</v>
      </c>
      <c r="E8" s="31">
        <v>52.91223080956525</v>
      </c>
      <c r="F8" s="31">
        <v>53.53103221399491</v>
      </c>
    </row>
    <row r="9" spans="1:6" x14ac:dyDescent="0.25">
      <c r="A9" s="30">
        <v>0.100814</v>
      </c>
      <c r="B9" s="31">
        <v>44.431838273639755</v>
      </c>
      <c r="C9" s="31">
        <v>44.63250462592625</v>
      </c>
      <c r="D9" s="31">
        <v>44.83317097821274</v>
      </c>
      <c r="E9" s="31">
        <v>45.03383733049923</v>
      </c>
      <c r="F9" s="31">
        <v>45.23450368278572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49242325000</v>
      </c>
      <c r="C5" s="18">
        <v>43432373000</v>
      </c>
      <c r="D5" s="18">
        <v>35684253000</v>
      </c>
      <c r="E5" s="18">
        <v>11473793000</v>
      </c>
      <c r="F5" s="8" t="s">
        <v>84</v>
      </c>
    </row>
    <row r="6" spans="1:6" x14ac:dyDescent="0.25">
      <c r="A6" t="s">
        <v>44</v>
      </c>
      <c r="B6" s="18">
        <v>9622637000</v>
      </c>
      <c r="C6" s="18">
        <v>7874701000</v>
      </c>
      <c r="D6" s="18">
        <v>6300439000</v>
      </c>
      <c r="E6" s="18">
        <v>-3359302000</v>
      </c>
      <c r="F6" s="8" t="s">
        <v>85</v>
      </c>
    </row>
    <row r="7" spans="1:6" x14ac:dyDescent="0.25">
      <c r="A7" t="s">
        <v>86</v>
      </c>
      <c r="B7" s="18">
        <v>3794212000</v>
      </c>
      <c r="C7" s="18">
        <v>3560992000</v>
      </c>
      <c r="D7" s="18">
        <v>2835702000</v>
      </c>
      <c r="E7" s="18">
        <v>2088338000</v>
      </c>
      <c r="F7" s="8" t="s">
        <v>87</v>
      </c>
    </row>
    <row r="8" spans="1:6" x14ac:dyDescent="0.25">
      <c r="A8" t="s">
        <v>88</v>
      </c>
      <c r="B8" s="18">
        <v>3473334000</v>
      </c>
      <c r="C8" s="18">
        <v>4868198000</v>
      </c>
      <c r="D8" s="18">
        <v>6018284000</v>
      </c>
      <c r="E8" s="18">
        <v>5077238000</v>
      </c>
      <c r="F8" s="8" t="s">
        <v>89</v>
      </c>
    </row>
    <row r="9" spans="1:6" x14ac:dyDescent="0.25">
      <c r="A9" t="s">
        <v>90</v>
      </c>
      <c r="B9" s="18">
        <v>-675509000</v>
      </c>
      <c r="C9" s="18">
        <v>-57045000</v>
      </c>
      <c r="D9" s="18">
        <v>-2259960000</v>
      </c>
      <c r="E9" s="18">
        <v>1579588000</v>
      </c>
      <c r="F9" s="8" t="s">
        <v>91</v>
      </c>
    </row>
    <row r="10" spans="1:6" x14ac:dyDescent="0.25">
      <c r="A10" t="s">
        <v>92</v>
      </c>
      <c r="B10" s="18">
        <v>2037282000</v>
      </c>
      <c r="C10" s="18">
        <v>4848600000</v>
      </c>
      <c r="D10" s="18">
        <v>2157324000</v>
      </c>
      <c r="E10" s="18">
        <v>8064930000</v>
      </c>
      <c r="F10" s="8" t="s">
        <v>93</v>
      </c>
    </row>
    <row r="11" spans="1:6" x14ac:dyDescent="0.25">
      <c r="A11" t="s">
        <v>94</v>
      </c>
      <c r="B11" s="18">
        <v>16924914000</v>
      </c>
      <c r="C11" s="18">
        <v>22420471000</v>
      </c>
      <c r="D11" s="18">
        <v>17145280000</v>
      </c>
      <c r="E11" s="18">
        <v>16347256000</v>
      </c>
      <c r="F11" s="8" t="s">
        <v>95</v>
      </c>
    </row>
    <row r="12" spans="1:6" x14ac:dyDescent="0.25">
      <c r="A12" t="s">
        <v>32</v>
      </c>
      <c r="B12" s="34">
        <v>4381333435</v>
      </c>
      <c r="C12" s="34">
        <v>4375280608</v>
      </c>
      <c r="D12" s="34">
        <v>4371736335</v>
      </c>
      <c r="E12" s="34">
        <v>4362354183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2026-09-19T00:09:59Z</dcterms:modified>
</cp:coreProperties>
</file>