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<sst xmlns="http://schemas.openxmlformats.org/spreadsheetml/2006/main" count="116" uniqueCount="104">
  <si>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MTR Corporation Limited (0066.HK)</t>
  </si>
  <si>
    <t>DCF Studio - Base case</t>
  </si>
  <si>
    <t>Blue figures on a cream fill are inputs. Every other figure is a formula - change an input and the model reprices. Currency figures are HKD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</si>
  <si>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</si>
  <si>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</si>
  <si>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</si>
  <si>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</si>
  <si>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</si>
  <si>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</si>
  <si>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</si>
  <si>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</si>
  <si>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</si>
  <si>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</si>
  <si>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</si>
  <si>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</si>
  <si>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</si>
  <si>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</si>
  <si>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</si>
  <si>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</si>
  <si>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</si>
  <si>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</si>
  <si>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</si>
  <si>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</si>
  <si>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(HKD m)</t>
  </si>
  <si>
    <t>Total debt (HKD m)</t>
  </si>
  <si>
    <t>Equity weight</t>
  </si>
  <si>
    <t>Debt weight</t>
  </si>
  <si>
    <t>WACC</t>
  </si>
  <si>
    <t>Base year</t>
  </si>
  <si>
    <t>Revenue, last reported year (HKD m)</t>
  </si>
  <si>
    <t>Fiscal year ended 2025-12-31</t>
  </si>
  <si>
    <t>Net debt (HKD m)</t>
  </si>
  <si>
    <t>Diluted shares</t>
  </si>
  <si>
    <t>Mid-year discounting (1 = yes, 0 = no)</t>
  </si>
  <si>
    <t>Terminal year on a steady-state footing (1 = yes, 0 = no)</t>
  </si>
  <si>
    <t>Forecast cashflows (HKD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</si>
  <si>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</si>
  <si>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</si>
  <si>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</si>
  <si>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</si>
  <si>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</si>
  <si>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</si>
  <si>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</si>
  <si>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</si>
  <si>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</si>
  <si>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</si>
  <si>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</si>
  <si>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</si>
  <si>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</si>
  <si>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</si>
  <si>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</si>
  <si>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</si>
  <si>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</si>
  <si>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(HKD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</si>
  <si>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</si>
  <si>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</si>
  <si>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</si>
  <si>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</si>
  <si>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</si>
  <si>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</si>
  <si>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</si>
  <si>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</si>
  <si>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</si>
  <si>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</si>
  <si>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</si>
  <si>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</si>
  <si>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</si>
  <si>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</si>
  <si>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</si>
  <si>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</si>
  <si>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HKD to HKD</t>
  </si>
  <si>
    <t>Same currency, no conversion</t>
  </si>
  <si>
    <t>Value per share (HKD)</t>
  </si>
  <si>
    <t>Implied upside</t>
  </si>
  <si>
    <t>Value per share (HKD)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</si>
  <si>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</si>
  <si>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(HKD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</si>
  <si>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</si>
  <si>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</si>
  <si>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</si>
  <si>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</si>
  <si>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</si>
  <si>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</si>
  <si>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</si>
  <si>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</si>
  <si>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</si>
  <si>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</si>
  <si>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derived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</si>
  <si>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</si>
  <si>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</si>
  <si>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</si>
  <si>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</si>
  <si>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</si>
  <si>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</si>
  <si>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</si>
  <si>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</si>
  <si>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</si>
  <si>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</si>
  <si>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</si>
  <si>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Free cashflow is negative in at least one forecast year, so terminal value carries most of the valuation.</t>
  </si>
  <si>
    <t>Adjusted: Capital expenditure runs at 28.1%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</si>
  <si>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</si>
  <si>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Current EV/EBITDA of 31.2x sits outside a defensible 3-20x band, so the exit multiple is capped at 20.0x. A multiple that far out usually means EBITDA is the wrong denominator for this business.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</si>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</sst>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0.050737024181204404</v>
      </c>
    </row>
    <row r="7" spans="1:2" x14ac:dyDescent="0.25">
      <c r="A7" t="s">
        <v>5</v>
      </c>
      <c r="B7" s="6">
        <v>0.11521125570955376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</v>
      </c>
    </row>
    <row r="10" spans="1:2" x14ac:dyDescent="0.25">
      <c r="A10" t="s">
        <v>8</v>
      </c>
      <c r="B10" s="6">
        <v>0.2808904554993059</v>
      </c>
    </row>
    <row r="11" spans="1:2" x14ac:dyDescent="0.25">
      <c r="A11" t="s">
        <v>9</v>
      </c>
      <c r="B11" s="6">
        <v>-0.42520897492300924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0.06734044107245962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0.75746</v>
      </c>
      <c r="C19" s="8" t="s">
        <v>19</v>
      </c>
    </row>
    <row r="20" spans="1:2" x14ac:dyDescent="0.25">
      <c r="A20" t="s">
        <v>20</v>
      </c>
      <c r="B20" s="10">
        <f>B17+B19*B18</f>
        <v>0.0850222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204570656768</v>
      </c>
    </row>
    <row r="23" spans="1:2" x14ac:dyDescent="0.25">
      <c r="A23" t="s">
        <v>24</v>
      </c>
      <c r="B23" s="11">
        <v>89048000000</v>
      </c>
    </row>
    <row r="24" spans="1:2" x14ac:dyDescent="0.25">
      <c r="A24" t="s">
        <v>25</v>
      </c>
      <c r="B24" s="10">
        <f>B22/(B22+B23)</f>
        <v>0.6967222690131696</v>
      </c>
    </row>
    <row r="25" spans="1:2" x14ac:dyDescent="0.25">
      <c r="A25" t="s">
        <v>26</v>
      </c>
      <c r="B25" s="10">
        <f>1-B24</f>
        <v>0.3032777309868304</v>
      </c>
    </row>
    <row r="26" spans="1:2" x14ac:dyDescent="0.25">
      <c r="A26" t="s">
        <v>27</v>
      </c>
      <c r="B26" s="12">
        <f>B24*B20+B25*B21*(1-B8)</f>
        <v>0.06734044107245962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55465000000</v>
      </c>
      <c r="C29" s="8" t="s">
        <v>30</v>
      </c>
    </row>
    <row r="30" spans="1:2" x14ac:dyDescent="0.25">
      <c r="A30" t="s">
        <v>31</v>
      </c>
      <c r="B30" s="11">
        <v>44806000000</v>
      </c>
    </row>
    <row r="31" spans="1:2" x14ac:dyDescent="0.25">
      <c r="A31" t="s">
        <v>32</v>
      </c>
      <c r="B31" s="13">
        <v>6224965934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0.050737024181204404</v>
      </c>
      <c r="C5" s="10">
        <f>Assumptions!B6</f>
        <v>0.050737024181204404</v>
      </c>
      <c r="D5" s="10">
        <f>Assumptions!B6</f>
        <v>0.050737024181204404</v>
      </c>
      <c r="E5" s="10">
        <f>Assumptions!B6</f>
        <v>0.050737024181204404</v>
      </c>
      <c r="F5" s="10">
        <f>Assumptions!B6</f>
        <v>0.050737024181204404</v>
      </c>
    </row>
    <row r="6" spans="1:6" x14ac:dyDescent="0.25">
      <c r="A6" t="s">
        <v>43</v>
      </c>
      <c r="B6" s="18">
        <f>Assumptions!B29*(1+B5)</f>
        <v>58279129046.2105</v>
      </c>
      <c r="C6" s="18">
        <f>B6*(1+C5)</f>
        <v>61236038625.88762</v>
      </c>
      <c r="D6" s="18">
        <f>C6*(1+D5)</f>
        <v>64342972998.410446</v>
      </c>
      <c r="E6" s="18">
        <f>D6*(1+E5)</f>
        <v>67607543975.32138</v>
      </c>
      <c r="F6" s="18">
        <f>E6*(1+F5)</f>
        <v>71037749568.8291</v>
      </c>
    </row>
    <row r="7" spans="1:6" x14ac:dyDescent="0.25">
      <c r="A7" t="s">
        <v>5</v>
      </c>
      <c r="B7" s="10">
        <f>Assumptions!B7</f>
        <v>0.11521125570955376</v>
      </c>
      <c r="C7" s="10">
        <f>Assumptions!B7</f>
        <v>0.11521125570955376</v>
      </c>
      <c r="D7" s="10">
        <f>Assumptions!B7</f>
        <v>0.11521125570955376</v>
      </c>
      <c r="E7" s="10">
        <f>Assumptions!B7</f>
        <v>0.11521125570955376</v>
      </c>
      <c r="F7" s="10">
        <f>Assumptions!B7</f>
        <v>0.11521125570955376</v>
      </c>
    </row>
    <row r="8" spans="1:6" x14ac:dyDescent="0.25">
      <c r="A8" t="s">
        <v>44</v>
      </c>
      <c r="B8" s="18">
        <f>B6*B7</f>
        <v>6714411639.07304</v>
      </c>
      <c r="C8" s="18">
        <f>C6*C7</f>
        <v>7055080904.76725</v>
      </c>
      <c r="D8" s="18">
        <f>D6*D7</f>
        <v>7413034715.232779</v>
      </c>
      <c r="E8" s="18">
        <f>E6*E7</f>
        <v>7789150036.835652</v>
      </c>
      <c r="F8" s="18">
        <f>F6*F7</f>
        <v>8184348330.605612</v>
      </c>
    </row>
    <row r="9" spans="1:6" x14ac:dyDescent="0.25">
      <c r="A9" t="s">
        <v>45</v>
      </c>
      <c r="B9" s="18">
        <f>B8*(1-Assumptions!B8)</f>
        <v>5606533718.625988</v>
      </c>
      <c r="C9" s="18">
        <f>C8*(1-Assumptions!B8)</f>
        <v>5890992555.480654</v>
      </c>
      <c r="D9" s="18">
        <f>D8*(1-Assumptions!B8)</f>
        <v>6189883987.21937</v>
      </c>
      <c r="E9" s="18">
        <f>E8*(1-Assumptions!B8)</f>
        <v>6503940280.75777</v>
      </c>
      <c r="F9" s="18">
        <f>F8*(1-Assumptions!B8)</f>
        <v>6833930856.055686</v>
      </c>
    </row>
    <row r="10" spans="1:6" x14ac:dyDescent="0.25">
      <c r="A10" t="s">
        <v>46</v>
      </c>
      <c r="B10" s="18">
        <f>B6*Assumptions!B9</f>
        <v>0</v>
      </c>
      <c r="C10" s="18">
        <f>C6*Assumptions!B9</f>
        <v>0</v>
      </c>
      <c r="D10" s="18">
        <f>D6*Assumptions!B9</f>
        <v>0</v>
      </c>
      <c r="E10" s="18">
        <f>E6*Assumptions!B9</f>
        <v>0</v>
      </c>
      <c r="F10" s="18">
        <f>F6*Assumptions!B9</f>
        <v>0</v>
      </c>
    </row>
    <row r="11" spans="1:6" x14ac:dyDescent="0.25">
      <c r="A11" t="s">
        <v>47</v>
      </c>
      <c r="B11" s="18">
        <f>-B6*Assumptions!B10</f>
        <v>-16370051103.892899</v>
      </c>
      <c r="C11" s="18">
        <f>-C6*Assumptions!B10</f>
        <v>-17200618782.598663</v>
      </c>
      <c r="D11" s="18">
        <f>-D6*Assumptions!B10</f>
        <v>-18073326993.703053</v>
      </c>
      <c r="E11" s="18">
        <f>-E6*Assumptions!B10</f>
        <v>-18990313822.417377</v>
      </c>
      <c r="F11" s="18">
        <f>-F6*Assumptions!B10</f>
        <v>-19953825834.034027</v>
      </c>
    </row>
    <row r="12" spans="1:6" x14ac:dyDescent="0.25">
      <c r="A12" t="s">
        <v>48</v>
      </c>
      <c r="B12" s="18">
        <f>-(B6-Assumptions!B29)*Assumptions!B11</f>
        <v>1196592927.0402336</v>
      </c>
      <c r="C12" s="18">
        <f>-(C6-B6)*Assumptions!B11</f>
        <v>1257304491.3145328</v>
      </c>
      <c r="D12" s="18">
        <f>-(D6-C6)*Assumptions!B11</f>
        <v>1321096379.6934943</v>
      </c>
      <c r="E12" s="18">
        <f>-(E6-D6)*Assumptions!B11</f>
        <v>1388124878.6557052</v>
      </c>
      <c r="F12" s="18">
        <f>-(F6-E6)*Assumptions!B11</f>
        <v>1458554204.1905906</v>
      </c>
    </row>
    <row r="13" spans="1:6" x14ac:dyDescent="0.25">
      <c r="A13" s="19" t="s">
        <v>49</v>
      </c>
      <c r="B13" s="20">
        <f>B9+B10+B11+B12</f>
        <v>-9566924458.226677</v>
      </c>
      <c r="C13" s="20">
        <f>C9+C10+C11+C12</f>
        <v>-10052321735.803476</v>
      </c>
      <c r="D13" s="20">
        <f>D9+D10+D11+D12</f>
        <v>-10562346626.790188</v>
      </c>
      <c r="E13" s="20">
        <f>E9+E10+E11+E12</f>
        <v>-11098248663.003902</v>
      </c>
      <c r="F13" s="20">
        <f>F9+F10+F11+F12</f>
        <v>-11661340773.78775</v>
      </c>
    </row>
    <row r="14" spans="1:6" x14ac:dyDescent="0.25">
      <c r="A14" t="s">
        <v>50</v>
      </c>
      <c r="B14" s="21">
        <f>1/(1+Assumptions!$B$26)^(1-0.5*Assumptions!$B$32)</f>
        <v>0.9679401785693612</v>
      </c>
      <c r="C14" s="21">
        <f>1/(1+Assumptions!$B$26)^(2-0.5*Assumptions!$B$32)</f>
        <v>0.9068710800433821</v>
      </c>
      <c r="D14" s="21">
        <f>1/(1+Assumptions!$B$26)^(3-0.5*Assumptions!$B$32)</f>
        <v>0.8496549415219024</v>
      </c>
      <c r="E14" s="21">
        <f>1/(1+Assumptions!$B$26)^(4-0.5*Assumptions!$B$32)</f>
        <v>0.7960486727816405</v>
      </c>
      <c r="F14" s="21">
        <f>1/(1+Assumptions!$B$26)^(5-0.5*Assumptions!$B$32)</f>
        <v>0.7458245206016684</v>
      </c>
    </row>
    <row r="15" spans="1:6" x14ac:dyDescent="0.25">
      <c r="A15" s="19" t="s">
        <v>51</v>
      </c>
      <c r="B15" s="20">
        <f>B13*B14</f>
        <v>-9260210568.455519</v>
      </c>
      <c r="C15" s="20">
        <f>C13*C14</f>
        <v>-9116159869.491665</v>
      </c>
      <c r="D15" s="20">
        <f>D13*D14</f>
        <v>-8974350005.51948</v>
      </c>
      <c r="E15" s="20">
        <f>E13*E14</f>
        <v>-8834746118.384872</v>
      </c>
      <c r="F15" s="20">
        <f>F13*F14</f>
        <v>-8697313892.182938</v>
      </c>
    </row>
    <row r="17" spans="1:2" x14ac:dyDescent="0.25">
      <c r="A17" s="22" t="s">
        <v>52</v>
      </c>
      <c r="B17" s="23">
        <f>SUM(B15:F15)</f>
        <v>-44882780454.03447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-11661340773.78775</v>
      </c>
    </row>
    <row r="5" spans="1:2" x14ac:dyDescent="0.25">
      <c r="A5" t="s">
        <v>56</v>
      </c>
      <c r="B5" s="18">
        <f>IF(Assumptions!$B$33=0,B4,B4-Forecast!F11-Forecast!F10-Forecast!F12)</f>
        <v>6833930856.055686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0.3712479396013982</v>
      </c>
    </row>
    <row r="7" spans="1:2" x14ac:dyDescent="0.25">
      <c r="A7" t="s">
        <v>58</v>
      </c>
      <c r="B7" s="18">
        <f>-MAX(Forecast!F9,0)*B6</f>
        <v>-2537082749.6890926</v>
      </c>
    </row>
    <row r="8" spans="1:2" x14ac:dyDescent="0.25">
      <c r="A8" t="s">
        <v>59</v>
      </c>
      <c r="B8" s="18">
        <f>IF(OR(Assumptions!$B$33=0,Assumptions!B12&lt;=0),B5,MAX(B5+B7,0))</f>
        <v>4296848106.366593</v>
      </c>
    </row>
    <row r="9" spans="1:2" x14ac:dyDescent="0.25">
      <c r="A9" t="s">
        <v>60</v>
      </c>
      <c r="B9" s="18">
        <f>B8*(1+Assumptions!B12)/(Assumptions!B26-Assumptions!B12)</f>
        <v>104020392737.25278</v>
      </c>
    </row>
    <row r="10" spans="1:2" x14ac:dyDescent="0.25">
      <c r="A10" t="s">
        <v>61</v>
      </c>
      <c r="B10" s="18">
        <f>B9/(1+Assumptions!B26)^(5-0.5*Assumptions!B32)</f>
        <v>77580959546.05882</v>
      </c>
    </row>
    <row r="11" spans="1:2" x14ac:dyDescent="0.25">
      <c r="A11" t="s">
        <v>62</v>
      </c>
      <c r="B11" s="18">
        <f>Forecast!B17+B10</f>
        <v>32698179092.024353</v>
      </c>
    </row>
    <row r="12" spans="1:2" x14ac:dyDescent="0.25">
      <c r="A12" t="s">
        <v>63</v>
      </c>
      <c r="B12" s="18">
        <f>-Assumptions!B30</f>
        <v>-44806000000</v>
      </c>
    </row>
    <row r="13" spans="1:2" x14ac:dyDescent="0.25">
      <c r="A13" t="s">
        <v>64</v>
      </c>
      <c r="B13" s="18">
        <f>B11+B12</f>
        <v>-12107820907.975647</v>
      </c>
    </row>
    <row r="14" spans="1:2" x14ac:dyDescent="0.25">
      <c r="A14" s="19" t="s">
        <v>65</v>
      </c>
      <c r="B14" s="24">
        <f>B13/Assumptions!B31</f>
        <v>-1.9450421153060797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8184348330.605612</v>
      </c>
    </row>
    <row r="18" spans="1:2" x14ac:dyDescent="0.25">
      <c r="A18" t="s">
        <v>60</v>
      </c>
      <c r="B18" s="18">
        <f>B17*Assumptions!B13</f>
        <v>163686966612.11224</v>
      </c>
    </row>
    <row r="19" spans="1:2" x14ac:dyDescent="0.25">
      <c r="A19" t="s">
        <v>61</v>
      </c>
      <c r="B19" s="18">
        <f>B18/(1+Assumptions!B26)^(5-0.5*Assumptions!B32)</f>
        <v>122081753402.21991</v>
      </c>
    </row>
    <row r="20" spans="1:2" x14ac:dyDescent="0.25">
      <c r="A20" t="s">
        <v>62</v>
      </c>
      <c r="B20" s="18">
        <f>Forecast!B17+B19</f>
        <v>77198972948.18544</v>
      </c>
    </row>
    <row r="21" spans="1:2" x14ac:dyDescent="0.25">
      <c r="A21" t="s">
        <v>63</v>
      </c>
      <c r="B21" s="18">
        <f>-Assumptions!B30</f>
        <v>-44806000000</v>
      </c>
    </row>
    <row r="22" spans="1:2" x14ac:dyDescent="0.25">
      <c r="A22" t="s">
        <v>64</v>
      </c>
      <c r="B22" s="18">
        <f>B20+B21</f>
        <v>32392972948.18544</v>
      </c>
    </row>
    <row r="23" spans="1:2" x14ac:dyDescent="0.25">
      <c r="A23" s="19" t="s">
        <v>65</v>
      </c>
      <c r="B23" s="25">
        <f>B22/Assumptions!B31</f>
        <v>5.203718910533952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32.98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-1.9450421153060797</v>
      </c>
    </row>
    <row r="29" spans="1:2" x14ac:dyDescent="0.25">
      <c r="A29" s="19" t="s">
        <v>73</v>
      </c>
      <c r="B29" s="12">
        <f>B28/B26-1</f>
        <v>-1.058976413441664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0.04734</v>
      </c>
      <c r="B5" s="31">
        <v>4.3598081230883805</v>
      </c>
      <c r="C5" s="31">
        <v>4.453971222525666</v>
      </c>
      <c r="D5" s="31">
        <v>4.548134321962953</v>
      </c>
      <c r="E5" s="31">
        <v>4.642297421400243</v>
      </c>
      <c r="F5" s="31">
        <v>4.736460520837528</v>
      </c>
    </row>
    <row r="6" spans="1:6" x14ac:dyDescent="0.25">
      <c r="A6" s="30">
        <v>0.05734</v>
      </c>
      <c r="B6" s="31">
        <v>0.5427547711438788</v>
      </c>
      <c r="C6" s="31">
        <v>0.6172416774703008</v>
      </c>
      <c r="D6" s="31">
        <v>0.6917285837967229</v>
      </c>
      <c r="E6" s="31">
        <v>0.7662154901231424</v>
      </c>
      <c r="F6" s="31">
        <v>0.8407023964495619</v>
      </c>
    </row>
    <row r="7" spans="1:6" x14ac:dyDescent="0.25">
      <c r="A7" s="30">
        <v>0.06734</v>
      </c>
      <c r="B7" s="31">
        <v>-2.066534690529525</v>
      </c>
      <c r="C7" s="31">
        <v>-2.005739677086043</v>
      </c>
      <c r="D7" s="32">
        <v>-1.9449446636425638</v>
      </c>
      <c r="E7" s="31">
        <v>-1.8841496501990844</v>
      </c>
      <c r="F7" s="31">
        <v>-1.8233546367556077</v>
      </c>
    </row>
    <row r="8" spans="1:6" x14ac:dyDescent="0.25">
      <c r="A8" s="30">
        <v>0.07734</v>
      </c>
      <c r="B8" s="31">
        <v>-3.9403946773759215</v>
      </c>
      <c r="C8" s="31">
        <v>-3.889635811945625</v>
      </c>
      <c r="D8" s="31">
        <v>-3.838876946515335</v>
      </c>
      <c r="E8" s="31">
        <v>-3.7881180810850474</v>
      </c>
      <c r="F8" s="31">
        <v>-3.7373592156547573</v>
      </c>
    </row>
    <row r="9" spans="1:6" x14ac:dyDescent="0.25">
      <c r="A9" s="30">
        <v>0.08734</v>
      </c>
      <c r="B9" s="31">
        <v>-5.334607557480243</v>
      </c>
      <c r="C9" s="31">
        <v>-5.291490781759615</v>
      </c>
      <c r="D9" s="31">
        <v>-5.248374006038994</v>
      </c>
      <c r="E9" s="31">
        <v>-5.20525723031837</v>
      </c>
      <c r="F9" s="31">
        <v>-5.162140454597746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55465000000</v>
      </c>
      <c r="C5" s="18">
        <v>60011000000</v>
      </c>
      <c r="D5" s="18">
        <v>56982000000</v>
      </c>
      <c r="E5" s="18">
        <v>47812000000</v>
      </c>
      <c r="F5" s="8" t="s">
        <v>84</v>
      </c>
    </row>
    <row r="6" spans="1:6" x14ac:dyDescent="0.25">
      <c r="A6" t="s">
        <v>44</v>
      </c>
      <c r="B6" s="18">
        <v>7984000000</v>
      </c>
      <c r="C6" s="18">
        <v>11760000000</v>
      </c>
      <c r="D6" s="18">
        <v>5828000000</v>
      </c>
      <c r="E6" s="18">
        <v>892000000</v>
      </c>
      <c r="F6" s="8" t="s">
        <v>85</v>
      </c>
    </row>
    <row r="7" spans="1:6" x14ac:dyDescent="0.25">
      <c r="A7" t="s">
        <v>86</v>
      </c>
      <c r="B7" s="18">
        <v>0</v>
      </c>
      <c r="C7" s="18">
        <v>0</v>
      </c>
      <c r="D7" s="18">
        <v>0</v>
      </c>
      <c r="E7" s="18">
        <v>0</v>
      </c>
      <c r="F7" s="8" t="s">
        <v>87</v>
      </c>
    </row>
    <row r="8" spans="1:6" x14ac:dyDescent="0.25">
      <c r="A8" t="s">
        <v>88</v>
      </c>
      <c r="B8" s="18">
        <v>19594000000</v>
      </c>
      <c r="C8" s="18">
        <v>19416000000</v>
      </c>
      <c r="D8" s="18">
        <v>12576000000</v>
      </c>
      <c r="E8" s="18">
        <v>10808000000</v>
      </c>
      <c r="F8" s="8" t="s">
        <v>89</v>
      </c>
    </row>
    <row r="9" spans="1:6" x14ac:dyDescent="0.25">
      <c r="A9" t="s">
        <v>90</v>
      </c>
      <c r="B9" s="18">
        <v>1933000000</v>
      </c>
      <c r="C9" s="18">
        <v>-1420000000</v>
      </c>
      <c r="D9" s="18">
        <v>1976000000</v>
      </c>
      <c r="E9" s="18">
        <v>549000000</v>
      </c>
      <c r="F9" s="8" t="s">
        <v>91</v>
      </c>
    </row>
    <row r="10" spans="1:6" x14ac:dyDescent="0.25">
      <c r="A10" t="s">
        <v>92</v>
      </c>
      <c r="B10" s="18">
        <v>89048000000</v>
      </c>
      <c r="C10" s="18">
        <v>77684000000</v>
      </c>
      <c r="D10" s="18">
        <v>59632000000</v>
      </c>
      <c r="E10" s="18">
        <v>47986000000</v>
      </c>
      <c r="F10" s="8" t="s">
        <v>93</v>
      </c>
    </row>
    <row r="11" spans="1:6" x14ac:dyDescent="0.25">
      <c r="A11" t="s">
        <v>94</v>
      </c>
      <c r="B11" s="18">
        <v>44242000000</v>
      </c>
      <c r="C11" s="18">
        <v>27886000000</v>
      </c>
      <c r="D11" s="18">
        <v>22375000000</v>
      </c>
      <c r="E11" s="18">
        <v>16134000000</v>
      </c>
      <c r="F11" s="8" t="s">
        <v>95</v>
      </c>
    </row>
    <row r="12" spans="1:6" x14ac:dyDescent="0.25">
      <c r="A12" t="s">
        <v>32</v>
      </c>
      <c r="B12" s="34">
        <v>6224965934</v>
      </c>
      <c r="C12" s="34">
        <v>6221386792</v>
      </c>
      <c r="D12" s="34">
        <v>6208314965</v>
      </c>
      <c r="E12" s="34">
        <v>6196797798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0" ht="38" customHeight="1" spans="1:6" x14ac:dyDescent="0.25">
      <c r="A20" s="35" t="s">
        <v>102</v>
      </c>
      <c r="B20" s="35"/>
      <c r="C20" s="35"/>
      <c r="D20" s="35"/>
      <c r="E20" s="35"/>
      <c r="F20" s="35"/>
    </row>
    <row r="22" spans="1:1" x14ac:dyDescent="0.25">
      <c r="A22" s="36" t="s">
        <v>103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2026-09-19T00:09:59Z</dcterms:modified>
</cp:coreProperties>
</file>