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<sst xmlns="http://schemas.openxmlformats.org/spreadsheetml/2006/main" count="114" uniqueCount="102">
  <si>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Hang Lung Properties Limited (0101.HK)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</si>
  <si>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</si>
  <si>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</si>
  <si>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</si>
  <si>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</si>
  <si>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</si>
  <si>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</si>
  <si>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</si>
  <si>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</si>
  <si>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</si>
  <si>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</si>
  <si>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</si>
  <si>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</si>
  <si>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</si>
  <si>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</si>
  <si>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</si>
  <si>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</si>
  <si>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</si>
  <si>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</si>
  <si>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</si>
  <si>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</si>
  <si>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</si>
  <si>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</si>
  <si>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</si>
  <si>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</si>
  <si>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</si>
  <si>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</si>
  <si>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</si>
  <si>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</si>
  <si>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</si>
  <si>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</si>
  <si>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</si>
  <si>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</si>
  <si>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</si>
  <si>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</si>
  <si>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</si>
  <si>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</si>
  <si>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</si>
  <si>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</si>
  <si>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</si>
  <si>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</si>
  <si>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</si>
  <si>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</si>
  <si>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</si>
  <si>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</si>
  <si>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</si>
  <si>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</si>
  <si>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</si>
  <si>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</si>
  <si>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</si>
  <si>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</si>
  <si>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</si>
  <si>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</si>
  <si>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</si>
  <si>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</si>
  <si>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</si>
  <si>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</si>
  <si>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</si>
  <si>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</si>
  <si>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</si>
  <si>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</si>
  <si>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</si>
  <si>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</si>
  <si>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</si>
  <si>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</si>
  <si>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</si>
  <si>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</si>
  <si>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</si>
  <si>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</si>
  <si>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</si>
  <si>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</si>
  <si>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</si>
  <si>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</si>
  <si>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</si>
  <si>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</si>
  <si>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</si>
  <si>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</si>
  <si>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</si>
  <si>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</si>
  <si>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</si>
  <si>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</si>
  <si>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</si>
  <si>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</si>
  <si>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</si>
  <si>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</si>
  <si>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</si>
  <si>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</si>
  <si>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</si>
  <si>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</si>
  <si>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</si>
  <si>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</si>
  <si>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</si>
  <si>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</si>
  <si>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</si>
  <si>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</si>
  <si>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</si>
  <si>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</si>
  <si>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</si>
  <si>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</si>
  <si>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7.8% of revenue against depreciation of 1.0%.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</si>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</sst>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-0.012956687122958277</v>
      </c>
    </row>
    <row r="7" spans="1:2" x14ac:dyDescent="0.25">
      <c r="A7" t="s">
        <v>5</v>
      </c>
      <c r="B7" s="6">
        <v>0.600453394837128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0.01038790819738735</v>
      </c>
    </row>
    <row r="10" spans="1:2" x14ac:dyDescent="0.25">
      <c r="A10" t="s">
        <v>8</v>
      </c>
      <c r="B10" s="6">
        <v>0.07801069359205268</v>
      </c>
    </row>
    <row r="11" spans="1:2" x14ac:dyDescent="0.25">
      <c r="A11" t="s">
        <v>9</v>
      </c>
      <c r="B11" s="6">
        <v>0.009719222462203024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13.555355274172186</v>
      </c>
    </row>
    <row r="14" spans="1:3" x14ac:dyDescent="0.25">
      <c r="A14" t="s">
        <v>12</v>
      </c>
      <c r="B14" s="6">
        <v>0.0514622839348675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0.8325</v>
      </c>
      <c r="C19" s="8" t="s">
        <v>19</v>
      </c>
    </row>
    <row r="20" spans="1:2" x14ac:dyDescent="0.25">
      <c r="A20" t="s">
        <v>20</v>
      </c>
      <c r="B20" s="10">
        <f>B17+B19*B18</f>
        <v>0.09027500000000001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34340345856</v>
      </c>
    </row>
    <row r="23" spans="1:2" x14ac:dyDescent="0.25">
      <c r="A23" t="s">
        <v>24</v>
      </c>
      <c r="B23" s="11">
        <v>53869000000</v>
      </c>
    </row>
    <row r="24" spans="1:2" x14ac:dyDescent="0.25">
      <c r="A24" t="s">
        <v>25</v>
      </c>
      <c r="B24" s="10">
        <f>B22/(B22+B23)</f>
        <v>0.38930507332023445</v>
      </c>
    </row>
    <row r="25" spans="1:2" x14ac:dyDescent="0.25">
      <c r="A25" t="s">
        <v>26</v>
      </c>
      <c r="B25" s="10">
        <f>1-B24</f>
        <v>0.6106949266797655</v>
      </c>
    </row>
    <row r="26" spans="1:2" x14ac:dyDescent="0.25">
      <c r="A26" t="s">
        <v>27</v>
      </c>
      <c r="B26" s="12">
        <f>B24*B20+B25*B21*(1-B8)</f>
        <v>0.0514622839348675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9950000000</v>
      </c>
      <c r="C29" s="8" t="s">
        <v>30</v>
      </c>
    </row>
    <row r="30" spans="1:2" x14ac:dyDescent="0.25">
      <c r="A30" t="s">
        <v>31</v>
      </c>
      <c r="B30" s="11">
        <v>47534000000</v>
      </c>
    </row>
    <row r="31" spans="1:2" x14ac:dyDescent="0.25">
      <c r="A31" t="s">
        <v>32</v>
      </c>
      <c r="B31" s="13">
        <v>4918623466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-0.012956687122958277</v>
      </c>
      <c r="C5" s="10">
        <f>Assumptions!B6</f>
        <v>-0.012956687122958277</v>
      </c>
      <c r="D5" s="10">
        <f>Assumptions!B6</f>
        <v>-0.012956687122958277</v>
      </c>
      <c r="E5" s="10">
        <f>Assumptions!B6</f>
        <v>-0.012956687122958277</v>
      </c>
      <c r="F5" s="10">
        <f>Assumptions!B6</f>
        <v>-0.012956687122958277</v>
      </c>
    </row>
    <row r="6" spans="1:6" x14ac:dyDescent="0.25">
      <c r="A6" t="s">
        <v>43</v>
      </c>
      <c r="B6" s="18">
        <f>Assumptions!B29*(1+B5)</f>
        <v>9821080963.126566</v>
      </c>
      <c r="C6" s="18">
        <f>B6*(1+C5)</f>
        <v>9693832289.878094</v>
      </c>
      <c r="D6" s="18">
        <f>C6*(1+D5)</f>
        <v>9568232337.875713</v>
      </c>
      <c r="E6" s="18">
        <f>D6*(1+E5)</f>
        <v>9444259745.154087</v>
      </c>
      <c r="F6" s="18">
        <f>E6*(1+F5)</f>
        <v>9321893426.528175</v>
      </c>
    </row>
    <row r="7" spans="1:6" x14ac:dyDescent="0.25">
      <c r="A7" t="s">
        <v>5</v>
      </c>
      <c r="B7" s="10">
        <f>Assumptions!B7</f>
        <v>0.600453394837128</v>
      </c>
      <c r="C7" s="10">
        <f>Assumptions!B7</f>
        <v>0.600453394837128</v>
      </c>
      <c r="D7" s="10">
        <f>Assumptions!B7</f>
        <v>0.600453394837128</v>
      </c>
      <c r="E7" s="10">
        <f>Assumptions!B7</f>
        <v>0.600453394837128</v>
      </c>
      <c r="F7" s="10">
        <f>Assumptions!B7</f>
        <v>0.600453394837128</v>
      </c>
    </row>
    <row r="8" spans="1:6" x14ac:dyDescent="0.25">
      <c r="A8" t="s">
        <v>44</v>
      </c>
      <c r="B8" s="18">
        <f>B6*B7</f>
        <v>5897101405.279637</v>
      </c>
      <c r="C8" s="18">
        <f>C6*C7</f>
        <v>5820694507.439072</v>
      </c>
      <c r="D8" s="18">
        <f>D6*D7</f>
        <v>5745277589.867862</v>
      </c>
      <c r="E8" s="18">
        <f>E6*E7</f>
        <v>5670837825.701401</v>
      </c>
      <c r="F8" s="18">
        <f>F6*F7</f>
        <v>5597362554.26875</v>
      </c>
    </row>
    <row r="9" spans="1:6" x14ac:dyDescent="0.25">
      <c r="A9" t="s">
        <v>45</v>
      </c>
      <c r="B9" s="18">
        <f>B8*(1-Assumptions!B8)</f>
        <v>4924079673.408497</v>
      </c>
      <c r="C9" s="18">
        <f>C8*(1-Assumptions!B8)</f>
        <v>4860279913.711625</v>
      </c>
      <c r="D9" s="18">
        <f>D8*(1-Assumptions!B8)</f>
        <v>4797306787.539664</v>
      </c>
      <c r="E9" s="18">
        <f>E8*(1-Assumptions!B8)</f>
        <v>4735149584.4606695</v>
      </c>
      <c r="F9" s="18">
        <f>F8*(1-Assumptions!B8)</f>
        <v>4673797732.814406</v>
      </c>
    </row>
    <row r="10" spans="1:6" x14ac:dyDescent="0.25">
      <c r="A10" t="s">
        <v>46</v>
      </c>
      <c r="B10" s="18">
        <f>B6*Assumptions!B9</f>
        <v>102020487.44406731</v>
      </c>
      <c r="C10" s="18">
        <f>C6*Assumptions!B9</f>
        <v>100698639.90812284</v>
      </c>
      <c r="D10" s="18">
        <f>D6*Assumptions!B9</f>
        <v>99393919.13712586</v>
      </c>
      <c r="E10" s="18">
        <f>E6*Assumptions!B9</f>
        <v>98106103.2249415</v>
      </c>
      <c r="F10" s="18">
        <f>F6*Assumptions!B9</f>
        <v>96834973.14060329</v>
      </c>
    </row>
    <row r="11" spans="1:6" x14ac:dyDescent="0.25">
      <c r="A11" t="s">
        <v>47</v>
      </c>
      <c r="B11" s="18">
        <f>-B6*Assumptions!B10</f>
        <v>-766149337.7572081</v>
      </c>
      <c r="C11" s="18">
        <f>-C6*Assumptions!B10</f>
        <v>-756222580.4984263</v>
      </c>
      <c r="D11" s="18">
        <f>-D6*Assumptions!B10</f>
        <v>-746424441.1275921</v>
      </c>
      <c r="E11" s="18">
        <f>-E6*Assumptions!B10</f>
        <v>-736753253.182973</v>
      </c>
      <c r="F11" s="18">
        <f>-F6*Assumptions!B10</f>
        <v>-727207371.7946595</v>
      </c>
    </row>
    <row r="12" spans="1:6" x14ac:dyDescent="0.25">
      <c r="A12" t="s">
        <v>48</v>
      </c>
      <c r="B12" s="18">
        <f>-(B6-Assumptions!B29)*Assumptions!B11</f>
        <v>1252992.7989858603</v>
      </c>
      <c r="C12" s="18">
        <f>-(C6-B6)*Assumptions!B11</f>
        <v>1236758.1633220841</v>
      </c>
      <c r="D12" s="18">
        <f>-(D6-C6)*Assumptions!B11</f>
        <v>1220733.874753157</v>
      </c>
      <c r="E12" s="18">
        <f>-(E6-D6)*Assumptions!B11</f>
        <v>1204917.2078775773</v>
      </c>
      <c r="F12" s="18">
        <f>-(F6-E6)*Assumptions!B11</f>
        <v>1189305.4726060533</v>
      </c>
    </row>
    <row r="13" spans="1:6" x14ac:dyDescent="0.25">
      <c r="A13" s="19" t="s">
        <v>49</v>
      </c>
      <c r="B13" s="20">
        <f>B9+B10+B11+B12</f>
        <v>4261203815.894342</v>
      </c>
      <c r="C13" s="20">
        <f>C9+C10+C11+C12</f>
        <v>4205992731.2846437</v>
      </c>
      <c r="D13" s="20">
        <f>D9+D10+D11+D12</f>
        <v>4151496999.423951</v>
      </c>
      <c r="E13" s="20">
        <f>E9+E10+E11+E12</f>
        <v>4097707351.7105155</v>
      </c>
      <c r="F13" s="20">
        <f>F9+F10+F11+F12</f>
        <v>4044614639.632956</v>
      </c>
    </row>
    <row r="14" spans="1:6" x14ac:dyDescent="0.25">
      <c r="A14" t="s">
        <v>50</v>
      </c>
      <c r="B14" s="21">
        <f>1/(1+Assumptions!$B$26)^(1-0.5*Assumptions!$B$32)</f>
        <v>0.9752212376169185</v>
      </c>
      <c r="C14" s="21">
        <f>1/(1+Assumptions!$B$26)^(2-0.5*Assumptions!$B$32)</f>
        <v>0.9274904602068716</v>
      </c>
      <c r="D14" s="21">
        <f>1/(1+Assumptions!$B$26)^(3-0.5*Assumptions!$B$32)</f>
        <v>0.8820957959004878</v>
      </c>
      <c r="E14" s="21">
        <f>1/(1+Assumptions!$B$26)^(4-0.5*Assumptions!$B$32)</f>
        <v>0.8389229070580042</v>
      </c>
      <c r="F14" s="21">
        <f>1/(1+Assumptions!$B$26)^(5-0.5*Assumptions!$B$32)</f>
        <v>0.7978630521282407</v>
      </c>
    </row>
    <row r="15" spans="1:6" x14ac:dyDescent="0.25">
      <c r="A15" s="19" t="s">
        <v>51</v>
      </c>
      <c r="B15" s="20">
        <f>B13*B14</f>
        <v>4155616459.0744157</v>
      </c>
      <c r="C15" s="20">
        <f>C13*C14</f>
        <v>3901018133.965951</v>
      </c>
      <c r="D15" s="20">
        <f>D13*D14</f>
        <v>3662018049.8853574</v>
      </c>
      <c r="E15" s="20">
        <f>E13*E14</f>
        <v>3437660563.7699413</v>
      </c>
      <c r="F15" s="20">
        <f>F13*F14</f>
        <v>3227048581.060115</v>
      </c>
    </row>
    <row r="17" spans="1:2" x14ac:dyDescent="0.25">
      <c r="A17" s="22" t="s">
        <v>52</v>
      </c>
      <c r="B17" s="23">
        <f>SUM(B15:F15)</f>
        <v>18383361787.75578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4044614639.632956</v>
      </c>
    </row>
    <row r="5" spans="1:2" x14ac:dyDescent="0.25">
      <c r="A5" t="s">
        <v>56</v>
      </c>
      <c r="B5" s="18">
        <f>IF(Assumptions!$B$33=0,B4,B4-Forecast!F11-Forecast!F10-Forecast!F12)</f>
        <v>4673797732.814406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0.4857926638398111</v>
      </c>
    </row>
    <row r="7" spans="1:2" x14ac:dyDescent="0.25">
      <c r="A7" t="s">
        <v>58</v>
      </c>
      <c r="B7" s="18">
        <f>-MAX(Forecast!F9,0)*B6</f>
        <v>-2270496650.8723803</v>
      </c>
    </row>
    <row r="8" spans="1:2" x14ac:dyDescent="0.25">
      <c r="A8" t="s">
        <v>59</v>
      </c>
      <c r="B8" s="18">
        <f>IF(OR(Assumptions!$B$33=0,Assumptions!B12&lt;=0),B5,MAX(B5+B7,0))</f>
        <v>2403301081.942026</v>
      </c>
    </row>
    <row r="9" spans="1:2" x14ac:dyDescent="0.25">
      <c r="A9" t="s">
        <v>60</v>
      </c>
      <c r="B9" s="18">
        <f>B8*(1+Assumptions!B12)/(Assumptions!B26-Assumptions!B12)</f>
        <v>93090362685.7676</v>
      </c>
    </row>
    <row r="10" spans="1:2" x14ac:dyDescent="0.25">
      <c r="A10" t="s">
        <v>61</v>
      </c>
      <c r="B10" s="18">
        <f>B9/(1+Assumptions!B26)^(5-0.5*Assumptions!B32)</f>
        <v>74273360896.19142</v>
      </c>
    </row>
    <row r="11" spans="1:2" x14ac:dyDescent="0.25">
      <c r="A11" t="s">
        <v>62</v>
      </c>
      <c r="B11" s="18">
        <f>Forecast!B17+B10</f>
        <v>92656722683.9472</v>
      </c>
    </row>
    <row r="12" spans="1:2" x14ac:dyDescent="0.25">
      <c r="A12" t="s">
        <v>63</v>
      </c>
      <c r="B12" s="18">
        <f>-Assumptions!B30</f>
        <v>-47534000000</v>
      </c>
    </row>
    <row r="13" spans="1:2" x14ac:dyDescent="0.25">
      <c r="A13" t="s">
        <v>64</v>
      </c>
      <c r="B13" s="18">
        <f>B11+B12</f>
        <v>45122722683.947205</v>
      </c>
    </row>
    <row r="14" spans="1:2" x14ac:dyDescent="0.25">
      <c r="A14" s="19" t="s">
        <v>65</v>
      </c>
      <c r="B14" s="24">
        <f>B13/Assumptions!B31</f>
        <v>9.173851789196341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5694197527.409353</v>
      </c>
    </row>
    <row r="18" spans="1:2" x14ac:dyDescent="0.25">
      <c r="A18" t="s">
        <v>60</v>
      </c>
      <c r="B18" s="18">
        <f>B17*Assumptions!B13</f>
        <v>77186870485.3466</v>
      </c>
    </row>
    <row r="19" spans="1:2" x14ac:dyDescent="0.25">
      <c r="A19" t="s">
        <v>61</v>
      </c>
      <c r="B19" s="18">
        <f>B18/(1+Assumptions!B26)^(5-0.5*Assumptions!B32)</f>
        <v>61584552069.66586</v>
      </c>
    </row>
    <row r="20" spans="1:2" x14ac:dyDescent="0.25">
      <c r="A20" t="s">
        <v>62</v>
      </c>
      <c r="B20" s="18">
        <f>Forecast!B17+B19</f>
        <v>79967913857.42165</v>
      </c>
    </row>
    <row r="21" spans="1:2" x14ac:dyDescent="0.25">
      <c r="A21" t="s">
        <v>63</v>
      </c>
      <c r="B21" s="18">
        <f>-Assumptions!B30</f>
        <v>-47534000000</v>
      </c>
    </row>
    <row r="22" spans="1:2" x14ac:dyDescent="0.25">
      <c r="A22" t="s">
        <v>64</v>
      </c>
      <c r="B22" s="18">
        <f>B20+B21</f>
        <v>32433913857.421646</v>
      </c>
    </row>
    <row r="23" spans="1:2" x14ac:dyDescent="0.25">
      <c r="A23" s="19" t="s">
        <v>65</v>
      </c>
      <c r="B23" s="25">
        <f>B22/Assumptions!B31</f>
        <v>6.594103834461242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9.173851789196341</v>
      </c>
    </row>
    <row r="29" spans="1:2" x14ac:dyDescent="0.25">
      <c r="A29" s="19" t="s">
        <v>73</v>
      </c>
      <c r="B29" s="12">
        <f>B28/B26-1</f>
        <v>0.3899775438176276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0.031462</v>
      </c>
      <c r="B5" s="31">
        <v>20.915708578261555</v>
      </c>
      <c r="C5" s="31">
        <v>21.047070794279925</v>
      </c>
      <c r="D5" s="31">
        <v>21.178433010298285</v>
      </c>
      <c r="E5" s="31">
        <v>52.48318121054056</v>
      </c>
      <c r="F5" s="31" t="s">
        <v>76</v>
      </c>
    </row>
    <row r="6" spans="1:6" x14ac:dyDescent="0.25">
      <c r="A6" s="30">
        <v>0.041462</v>
      </c>
      <c r="B6" s="31">
        <v>13.534738305863081</v>
      </c>
      <c r="C6" s="31">
        <v>13.630182752729775</v>
      </c>
      <c r="D6" s="31">
        <v>13.725627199596468</v>
      </c>
      <c r="E6" s="31">
        <v>13.821071646463164</v>
      </c>
      <c r="F6" s="31">
        <v>13.916516093329848</v>
      </c>
    </row>
    <row r="7" spans="1:6" x14ac:dyDescent="0.25">
      <c r="A7" s="30">
        <v>0.051462</v>
      </c>
      <c r="B7" s="31">
        <v>9.026633526666386</v>
      </c>
      <c r="C7" s="31">
        <v>9.100294688027953</v>
      </c>
      <c r="D7" s="32">
        <v>9.17395584938952</v>
      </c>
      <c r="E7" s="31">
        <v>9.247617010751094</v>
      </c>
      <c r="F7" s="31">
        <v>9.321278172112663</v>
      </c>
    </row>
    <row r="8" spans="1:6" x14ac:dyDescent="0.25">
      <c r="A8" s="30">
        <v>0.061462</v>
      </c>
      <c r="B8" s="31">
        <v>5.988888828099602</v>
      </c>
      <c r="C8" s="31">
        <v>6.047993202103732</v>
      </c>
      <c r="D8" s="31">
        <v>6.107097576107865</v>
      </c>
      <c r="E8" s="31">
        <v>6.166201950111997</v>
      </c>
      <c r="F8" s="31">
        <v>6.2253063241161275</v>
      </c>
    </row>
    <row r="9" spans="1:6" x14ac:dyDescent="0.25">
      <c r="A9" s="30">
        <v>0.071462</v>
      </c>
      <c r="B9" s="31">
        <v>3.8040491233378937</v>
      </c>
      <c r="C9" s="31">
        <v>3.8527824091840186</v>
      </c>
      <c r="D9" s="31">
        <v>3.901515695030142</v>
      </c>
      <c r="E9" s="31">
        <v>3.9502489808762653</v>
      </c>
      <c r="F9" s="31">
        <v>3.998982266722389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9950000000</v>
      </c>
      <c r="C5" s="18">
        <v>11242000000</v>
      </c>
      <c r="D5" s="18">
        <v>10316000000</v>
      </c>
      <c r="E5" s="18">
        <v>10347000000</v>
      </c>
      <c r="F5" s="8" t="s">
        <v>85</v>
      </c>
    </row>
    <row r="6" spans="1:6" x14ac:dyDescent="0.25">
      <c r="A6" t="s">
        <v>44</v>
      </c>
      <c r="B6" s="18">
        <v>5890000000</v>
      </c>
      <c r="C6" s="18">
        <v>5812000000</v>
      </c>
      <c r="D6" s="18">
        <v>6743000000</v>
      </c>
      <c r="E6" s="18">
        <v>6614000000</v>
      </c>
      <c r="F6" s="8" t="s">
        <v>86</v>
      </c>
    </row>
    <row r="7" spans="1:6" x14ac:dyDescent="0.25">
      <c r="A7" t="s">
        <v>87</v>
      </c>
      <c r="B7" s="18">
        <v>150000000</v>
      </c>
      <c r="C7" s="18">
        <v>117000000</v>
      </c>
      <c r="D7" s="18">
        <v>88000000</v>
      </c>
      <c r="E7" s="18">
        <v>78000000</v>
      </c>
      <c r="F7" s="8" t="s">
        <v>88</v>
      </c>
    </row>
    <row r="8" spans="1:6" x14ac:dyDescent="0.25">
      <c r="A8" t="s">
        <v>89</v>
      </c>
      <c r="B8" s="18">
        <v>248000000</v>
      </c>
      <c r="C8" s="18">
        <v>170000000</v>
      </c>
      <c r="D8" s="18">
        <v>115000000</v>
      </c>
      <c r="E8" s="18">
        <v>2699000000</v>
      </c>
      <c r="F8" s="8" t="s">
        <v>90</v>
      </c>
    </row>
    <row r="9" spans="1:6" x14ac:dyDescent="0.25">
      <c r="A9" t="s">
        <v>91</v>
      </c>
      <c r="B9" s="18">
        <v>-970000000</v>
      </c>
      <c r="C9" s="18">
        <v>9000000</v>
      </c>
      <c r="D9" s="18">
        <v>1925000000</v>
      </c>
      <c r="E9" s="18">
        <v>1292000000</v>
      </c>
      <c r="F9" s="8" t="s">
        <v>92</v>
      </c>
    </row>
    <row r="10" spans="1:6" x14ac:dyDescent="0.25">
      <c r="A10" t="s">
        <v>93</v>
      </c>
      <c r="B10" s="18">
        <v>53869000000</v>
      </c>
      <c r="C10" s="18">
        <v>57639000000</v>
      </c>
      <c r="D10" s="18">
        <v>50982000000</v>
      </c>
      <c r="E10" s="18">
        <v>45817000000</v>
      </c>
      <c r="F10" s="8" t="s">
        <v>94</v>
      </c>
    </row>
    <row r="11" spans="1:6" x14ac:dyDescent="0.25">
      <c r="A11" t="s">
        <v>95</v>
      </c>
      <c r="B11" s="18">
        <v>6335000000</v>
      </c>
      <c r="C11" s="18">
        <v>10303000000</v>
      </c>
      <c r="D11" s="18">
        <v>5352000000</v>
      </c>
      <c r="E11" s="18">
        <v>5229000000</v>
      </c>
      <c r="F11" s="8" t="s">
        <v>96</v>
      </c>
    </row>
    <row r="12" spans="1:6" x14ac:dyDescent="0.25">
      <c r="A12" t="s">
        <v>32</v>
      </c>
      <c r="B12" s="34">
        <v>4918623466</v>
      </c>
      <c r="C12" s="34">
        <v>4635426372</v>
      </c>
      <c r="D12" s="34">
        <v>4499260670</v>
      </c>
      <c r="E12" s="34">
        <v>4499260670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