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<sst xmlns="http://schemas.openxmlformats.org/spreadsheetml/2006/main" count="114" uniqueCount="102">
  <si>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Geely Automobile Holdings Limited (0175.HK)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</si>
  <si>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</si>
  <si>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</si>
  <si>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</si>
  <si>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</si>
  <si>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</si>
  <si>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</si>
  <si>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</si>
  <si>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</si>
  <si>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</si>
  <si>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</si>
  <si>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</si>
  <si>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</si>
  <si>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</si>
  <si>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</si>
  <si>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</si>
  <si>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</si>
  <si>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</si>
  <si>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</si>
  <si>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</si>
  <si>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</si>
  <si>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</si>
  <si>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</si>
  <si>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</si>
  <si>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</si>
  <si>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</si>
  <si>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</si>
  <si>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</si>
  <si>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</si>
  <si>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</si>
  <si>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</si>
  <si>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</si>
  <si>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</si>
  <si>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</si>
  <si>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</si>
  <si>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</si>
  <si>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</si>
  <si>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</si>
  <si>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</si>
  <si>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</si>
  <si>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</si>
  <si>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</si>
  <si>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</si>
  <si>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</si>
  <si>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</si>
  <si>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</si>
  <si>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</si>
  <si>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</si>
  <si>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</si>
  <si>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</si>
  <si>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</si>
  <si>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</si>
  <si>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</si>
  <si>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</si>
  <si>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</si>
  <si>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</si>
  <si>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</si>
  <si>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</si>
  <si>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</si>
  <si>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</si>
  <si>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</si>
  <si>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</si>
  <si>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</si>
  <si>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</si>
  <si>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</si>
  <si>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</si>
  <si>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</si>
  <si>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</si>
  <si>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</si>
  <si>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</si>
  <si>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</si>
  <si>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</si>
  <si>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</si>
  <si>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</si>
  <si>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</si>
  <si>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</si>
  <si>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</si>
  <si>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</si>
  <si>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</si>
  <si>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</si>
  <si>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</si>
  <si>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</si>
  <si>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</si>
  <si>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</si>
  <si>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</si>
  <si>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</si>
  <si>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</si>
  <si>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</si>
  <si>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</si>
  <si>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</si>
  <si>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</si>
  <si>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</si>
  <si>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</si>
  <si>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</si>
  <si>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</si>
  <si>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</si>
  <si>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</si>
  <si>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</si>
  <si>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</si>
  <si>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Capital expenditure runs at 6.7% of revenue against depreciation of 4.9%.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</si>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</sst>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0.3263285298383507</v>
      </c>
    </row>
    <row r="7" spans="1:2" x14ac:dyDescent="0.25">
      <c r="A7" t="s">
        <v>5</v>
      </c>
      <c r="B7" s="6">
        <v>0.02535904248434221</v>
      </c>
    </row>
    <row r="8" spans="1:2" x14ac:dyDescent="0.25">
      <c r="A8" t="s">
        <v>6</v>
      </c>
      <c r="B8" s="6">
        <v>0.052603639607619615</v>
      </c>
    </row>
    <row r="9" spans="1:2" x14ac:dyDescent="0.25">
      <c r="A9" t="s">
        <v>7</v>
      </c>
      <c r="B9" s="6">
        <v>0.049485705583820976</v>
      </c>
    </row>
    <row r="10" spans="1:2" x14ac:dyDescent="0.25">
      <c r="A10" t="s">
        <v>8</v>
      </c>
      <c r="B10" s="6">
        <v>0.06713914051460239</v>
      </c>
    </row>
    <row r="11" spans="1:2" x14ac:dyDescent="0.25">
      <c r="A11" t="s">
        <v>9</v>
      </c>
      <c r="B11" s="6">
        <v>-0.26366812293469305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5.230738497634006</v>
      </c>
    </row>
    <row r="14" spans="1:3" x14ac:dyDescent="0.25">
      <c r="A14" t="s">
        <v>12</v>
      </c>
      <c r="B14" s="6">
        <v>0.06851257912191093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0.66031</v>
      </c>
      <c r="C19" s="8" t="s">
        <v>19</v>
      </c>
    </row>
    <row r="20" spans="1:2" x14ac:dyDescent="0.25">
      <c r="A20" t="s">
        <v>20</v>
      </c>
      <c r="B20" s="10">
        <f>B17+B19*B18</f>
        <v>0.0782217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171922341888</v>
      </c>
    </row>
    <row r="23" spans="1:2" x14ac:dyDescent="0.25">
      <c r="A23" t="s">
        <v>24</v>
      </c>
      <c r="B23" s="11">
        <v>43701418000</v>
      </c>
    </row>
    <row r="24" spans="1:2" x14ac:dyDescent="0.25">
      <c r="A24" t="s">
        <v>25</v>
      </c>
      <c r="B24" s="10">
        <f>B22/(B22+B23)</f>
        <v>0.7973255914714615</v>
      </c>
    </row>
    <row r="25" spans="1:2" x14ac:dyDescent="0.25">
      <c r="A25" t="s">
        <v>26</v>
      </c>
      <c r="B25" s="10">
        <f>1-B24</f>
        <v>0.20267440852853846</v>
      </c>
    </row>
    <row r="26" spans="1:2" x14ac:dyDescent="0.25">
      <c r="A26" t="s">
        <v>27</v>
      </c>
      <c r="B26" s="12">
        <f>B24*B20+B25*B21*(1-B8)</f>
        <v>0.06851257912191093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345232201000</v>
      </c>
      <c r="C29" s="8" t="s">
        <v>30</v>
      </c>
    </row>
    <row r="30" spans="1:2" x14ac:dyDescent="0.25">
      <c r="A30" t="s">
        <v>31</v>
      </c>
      <c r="B30" s="11">
        <v>-21617861000</v>
      </c>
    </row>
    <row r="31" spans="1:2" x14ac:dyDescent="0.25">
      <c r="A31" t="s">
        <v>32</v>
      </c>
      <c r="B31" s="13">
        <v>10353696070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0.3263285298383507</v>
      </c>
      <c r="C5" s="10">
        <f>Assumptions!B6</f>
        <v>0.3263285298383507</v>
      </c>
      <c r="D5" s="10">
        <f>Assumptions!B6</f>
        <v>0.3263285298383507</v>
      </c>
      <c r="E5" s="10">
        <f>Assumptions!B6</f>
        <v>0.3263285298383507</v>
      </c>
      <c r="F5" s="10">
        <f>Assumptions!B6</f>
        <v>0.3263285298383507</v>
      </c>
    </row>
    <row r="6" spans="1:6" x14ac:dyDescent="0.25">
      <c r="A6" t="s">
        <v>43</v>
      </c>
      <c r="B6" s="18">
        <f>Assumptions!B29*(1+B5)</f>
        <v>457891317605.188</v>
      </c>
      <c r="C6" s="18">
        <f>B6*(1+C5)</f>
        <v>607314318105.0343</v>
      </c>
      <c r="D6" s="18">
        <f>C6*(1+D5)</f>
        <v>805498306682.0306</v>
      </c>
      <c r="E6" s="18">
        <f>D6*(1+E5)</f>
        <v>1068355384888.8586</v>
      </c>
      <c r="F6" s="18">
        <f>E6*(1+F5)</f>
        <v>1416990226984.5251</v>
      </c>
    </row>
    <row r="7" spans="1:6" x14ac:dyDescent="0.25">
      <c r="A7" t="s">
        <v>5</v>
      </c>
      <c r="B7" s="10">
        <f>Assumptions!B7</f>
        <v>0.02535904248434221</v>
      </c>
      <c r="C7" s="10">
        <f>Assumptions!B7</f>
        <v>0.02535904248434221</v>
      </c>
      <c r="D7" s="10">
        <f>Assumptions!B7</f>
        <v>0.02535904248434221</v>
      </c>
      <c r="E7" s="10">
        <f>Assumptions!B7</f>
        <v>0.02535904248434221</v>
      </c>
      <c r="F7" s="10">
        <f>Assumptions!B7</f>
        <v>0.02535904248434221</v>
      </c>
    </row>
    <row r="8" spans="1:6" x14ac:dyDescent="0.25">
      <c r="A8" t="s">
        <v>44</v>
      </c>
      <c r="B8" s="18">
        <f>B6*B7</f>
        <v>11611685376.361395</v>
      </c>
      <c r="C8" s="18">
        <f>C6*C7</f>
        <v>15400909594.174885</v>
      </c>
      <c r="D8" s="18">
        <f>D6*D7</f>
        <v>20426665780.215324</v>
      </c>
      <c r="E8" s="18">
        <f>E6*E7</f>
        <v>27092469593.77234</v>
      </c>
      <c r="F8" s="18">
        <f>F6*F7</f>
        <v>35933515365.99828</v>
      </c>
    </row>
    <row r="9" spans="1:6" x14ac:dyDescent="0.25">
      <c r="A9" t="s">
        <v>45</v>
      </c>
      <c r="B9" s="18">
        <f>B8*(1-Assumptions!B8)</f>
        <v>11000868463.586214</v>
      </c>
      <c r="C9" s="18">
        <f>C8*(1-Assumptions!B8)</f>
        <v>14590765696.253378</v>
      </c>
      <c r="D9" s="18">
        <f>D8*(1-Assumptions!B8)</f>
        <v>19352148815.127583</v>
      </c>
      <c r="E9" s="18">
        <f>E8*(1-Assumptions!B8)</f>
        <v>25667307087.181145</v>
      </c>
      <c r="F9" s="18">
        <f>F8*(1-Assumptions!B8)</f>
        <v>34043281673.85045</v>
      </c>
    </row>
    <row r="10" spans="1:6" x14ac:dyDescent="0.25">
      <c r="A10" t="s">
        <v>46</v>
      </c>
      <c r="B10" s="18">
        <f>B6*Assumptions!B9</f>
        <v>22659074932.398193</v>
      </c>
      <c r="C10" s="18">
        <f>C6*Assumptions!B9</f>
        <v>30053377542.584724</v>
      </c>
      <c r="D10" s="18">
        <f>D6*Assumptions!B9</f>
        <v>39860652052.73331</v>
      </c>
      <c r="E10" s="18">
        <f>E6*Assumptions!B9</f>
        <v>52868320035.4998</v>
      </c>
      <c r="F10" s="18">
        <f>F6*Assumptions!B9</f>
        <v>70120761187.70787</v>
      </c>
    </row>
    <row r="11" spans="1:6" x14ac:dyDescent="0.25">
      <c r="A11" t="s">
        <v>47</v>
      </c>
      <c r="B11" s="18">
        <f>-B6*Assumptions!B10</f>
        <v>-30742429513.111145</v>
      </c>
      <c r="C11" s="18">
        <f>-C6*Assumptions!B10</f>
        <v>-40774561339.78383</v>
      </c>
      <c r="D11" s="18">
        <f>-D6*Assumptions!B10</f>
        <v>-54080463996.599144</v>
      </c>
      <c r="E11" s="18">
        <f>-E6*Assumptions!B10</f>
        <v>-71728462305.5852</v>
      </c>
      <c r="F11" s="18">
        <f>-F6*Assumptions!B10</f>
        <v>-95135505957.33237</v>
      </c>
    </row>
    <row r="12" spans="1:6" x14ac:dyDescent="0.25">
      <c r="A12" t="s">
        <v>48</v>
      </c>
      <c r="B12" s="18">
        <f>-(B6-Assumptions!B29)*Assumptions!B11</f>
        <v>29704617806.770626</v>
      </c>
      <c r="C12" s="18">
        <f>-(C6-B6)*Assumptions!B11</f>
        <v>39398082065.06418</v>
      </c>
      <c r="D12" s="18">
        <f>-(D6-C6)*Assumptions!B11</f>
        <v>52254800263.807274</v>
      </c>
      <c r="E12" s="18">
        <f>-(E6-D6)*Assumptions!B11</f>
        <v>69307032410.89215</v>
      </c>
      <c r="F12" s="18">
        <f>-(F6-E6)*Assumptions!B11</f>
        <v>91923894404.9975</v>
      </c>
    </row>
    <row r="13" spans="1:6" x14ac:dyDescent="0.25">
      <c r="A13" s="19" t="s">
        <v>49</v>
      </c>
      <c r="B13" s="20">
        <f>B9+B10+B11+B12</f>
        <v>32622131689.643887</v>
      </c>
      <c r="C13" s="20">
        <f>C9+C10+C11+C12</f>
        <v>43267663964.118454</v>
      </c>
      <c r="D13" s="20">
        <f>D9+D10+D11+D12</f>
        <v>57387137135.069016</v>
      </c>
      <c r="E13" s="20">
        <f>E9+E10+E11+E12</f>
        <v>76114197227.98788</v>
      </c>
      <c r="F13" s="20">
        <f>F9+F10+F11+F12</f>
        <v>100952431309.22345</v>
      </c>
    </row>
    <row r="14" spans="1:6" x14ac:dyDescent="0.25">
      <c r="A14" t="s">
        <v>50</v>
      </c>
      <c r="B14" s="21">
        <f>1/(1+Assumptions!$B$26)^(1-0.5*Assumptions!$B$32)</f>
        <v>0.9674091268749692</v>
      </c>
      <c r="C14" s="21">
        <f>1/(1+Assumptions!$B$26)^(2-0.5*Assumptions!$B$32)</f>
        <v>0.9053792587729504</v>
      </c>
      <c r="D14" s="21">
        <f>1/(1+Assumptions!$B$26)^(3-0.5*Assumptions!$B$32)</f>
        <v>0.8473267198379439</v>
      </c>
      <c r="E14" s="21">
        <f>1/(1+Assumptions!$B$26)^(4-0.5*Assumptions!$B$32)</f>
        <v>0.7929964853893114</v>
      </c>
      <c r="F14" s="21">
        <f>1/(1+Assumptions!$B$26)^(5-0.5*Assumptions!$B$32)</f>
        <v>0.7421498828221423</v>
      </c>
    </row>
    <row r="15" spans="1:6" x14ac:dyDescent="0.25">
      <c r="A15" s="19" t="s">
        <v>51</v>
      </c>
      <c r="B15" s="20">
        <f>B13*B14</f>
        <v>31558947934.678654</v>
      </c>
      <c r="C15" s="20">
        <f>C13*C14</f>
        <v>39173645528.67066</v>
      </c>
      <c r="D15" s="20">
        <f>D13*D14</f>
        <v>48625654669.548294</v>
      </c>
      <c r="E15" s="20">
        <f>E13*E14</f>
        <v>60358290890.02326</v>
      </c>
      <c r="F15" s="20">
        <f>F13*F14</f>
        <v>74921835066.75055</v>
      </c>
    </row>
    <row r="17" spans="1:2" x14ac:dyDescent="0.25">
      <c r="A17" s="22" t="s">
        <v>52</v>
      </c>
      <c r="B17" s="23">
        <f>SUM(B15:F15)</f>
        <v>254638374089.67142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100952431309.22345</v>
      </c>
    </row>
    <row r="5" spans="1:2" x14ac:dyDescent="0.25">
      <c r="A5" t="s">
        <v>56</v>
      </c>
      <c r="B5" s="18">
        <f>IF(Assumptions!$B$33=0,B4,B4-Forecast!F11-Forecast!F10-Forecast!F12)</f>
        <v>34043281673.85045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0.36489649521900397</v>
      </c>
    </row>
    <row r="7" spans="1:2" x14ac:dyDescent="0.25">
      <c r="A7" t="s">
        <v>58</v>
      </c>
      <c r="B7" s="18">
        <f>-MAX(Forecast!F9,0)*B6</f>
        <v>-12422274168.541376</v>
      </c>
    </row>
    <row r="8" spans="1:2" x14ac:dyDescent="0.25">
      <c r="A8" t="s">
        <v>59</v>
      </c>
      <c r="B8" s="18">
        <f>IF(OR(Assumptions!$B$33=0,Assumptions!B12&lt;=0),B5,MAX(B5+B7,0))</f>
        <v>21621007505.309074</v>
      </c>
    </row>
    <row r="9" spans="1:2" x14ac:dyDescent="0.25">
      <c r="A9" t="s">
        <v>60</v>
      </c>
      <c r="B9" s="18">
        <f>B8*(1+Assumptions!B12)/(Assumptions!B26-Assumptions!B12)</f>
        <v>509313240910.1963</v>
      </c>
    </row>
    <row r="10" spans="1:2" x14ac:dyDescent="0.25">
      <c r="A10" t="s">
        <v>61</v>
      </c>
      <c r="B10" s="18">
        <f>B9/(1+Assumptions!B26)^(5-0.5*Assumptions!B32)</f>
        <v>377986762061.2677</v>
      </c>
    </row>
    <row r="11" spans="1:2" x14ac:dyDescent="0.25">
      <c r="A11" t="s">
        <v>62</v>
      </c>
      <c r="B11" s="18">
        <f>Forecast!B17+B10</f>
        <v>632625136150.9391</v>
      </c>
    </row>
    <row r="12" spans="1:2" x14ac:dyDescent="0.25">
      <c r="A12" t="s">
        <v>63</v>
      </c>
      <c r="B12" s="18">
        <f>-Assumptions!B30</f>
        <v>21617861000</v>
      </c>
    </row>
    <row r="13" spans="1:2" x14ac:dyDescent="0.25">
      <c r="A13" t="s">
        <v>64</v>
      </c>
      <c r="B13" s="18">
        <f>B11+B12</f>
        <v>654242997150.9391</v>
      </c>
    </row>
    <row r="14" spans="1:2" x14ac:dyDescent="0.25">
      <c r="A14" s="19" t="s">
        <v>65</v>
      </c>
      <c r="B14" s="24">
        <f>B13/Assumptions!B31</f>
        <v>63.18931835816763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106054276553.70615</v>
      </c>
    </row>
    <row r="18" spans="1:2" x14ac:dyDescent="0.25">
      <c r="A18" t="s">
        <v>60</v>
      </c>
      <c r="B18" s="18">
        <f>B17*Assumptions!B13</f>
        <v>554742187208.1942</v>
      </c>
    </row>
    <row r="19" spans="1:2" x14ac:dyDescent="0.25">
      <c r="A19" t="s">
        <v>61</v>
      </c>
      <c r="B19" s="18">
        <f>B18/(1+Assumptions!B26)^(5-0.5*Assumptions!B32)</f>
        <v>411701849233.0603</v>
      </c>
    </row>
    <row r="20" spans="1:2" x14ac:dyDescent="0.25">
      <c r="A20" t="s">
        <v>62</v>
      </c>
      <c r="B20" s="18">
        <f>Forecast!B17+B19</f>
        <v>666340223322.7317</v>
      </c>
    </row>
    <row r="21" spans="1:2" x14ac:dyDescent="0.25">
      <c r="A21" t="s">
        <v>63</v>
      </c>
      <c r="B21" s="18">
        <f>-Assumptions!B30</f>
        <v>21617861000</v>
      </c>
    </row>
    <row r="22" spans="1:2" x14ac:dyDescent="0.25">
      <c r="A22" t="s">
        <v>64</v>
      </c>
      <c r="B22" s="18">
        <f>B20+B21</f>
        <v>687958084322.7317</v>
      </c>
    </row>
    <row r="23" spans="1:2" x14ac:dyDescent="0.25">
      <c r="A23" s="19" t="s">
        <v>65</v>
      </c>
      <c r="B23" s="25">
        <f>B22/Assumptions!B31</f>
        <v>66.44565183983923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15.94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73.98205393374266</v>
      </c>
    </row>
    <row r="29" spans="1:2" x14ac:dyDescent="0.25">
      <c r="A29" s="19" t="s">
        <v>73</v>
      </c>
      <c r="B29" s="12">
        <f>B28/B26-1</f>
        <v>3.6412831827943952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0.048513</v>
      </c>
      <c r="B5" s="31">
        <v>85.52657325202398</v>
      </c>
      <c r="C5" s="31">
        <v>86.86593430620529</v>
      </c>
      <c r="D5" s="31">
        <v>88.6671423105364</v>
      </c>
      <c r="E5" s="31">
        <v>91.30440480848674</v>
      </c>
      <c r="F5" s="31">
        <v>95.70577755409218</v>
      </c>
    </row>
    <row r="6" spans="1:6" x14ac:dyDescent="0.25">
      <c r="A6" s="30">
        <v>0.058513</v>
      </c>
      <c r="B6" s="31">
        <v>71.52823568817784</v>
      </c>
      <c r="C6" s="31">
        <v>71.74576649089967</v>
      </c>
      <c r="D6" s="31">
        <v>71.9632972936215</v>
      </c>
      <c r="E6" s="31">
        <v>72.18082809634333</v>
      </c>
      <c r="F6" s="31">
        <v>72.39835889906516</v>
      </c>
    </row>
    <row r="7" spans="1:6" x14ac:dyDescent="0.25">
      <c r="A7" s="30">
        <v>0.068513</v>
      </c>
      <c r="B7" s="31">
        <v>62.832833897350774</v>
      </c>
      <c r="C7" s="31">
        <v>63.01091747796558</v>
      </c>
      <c r="D7" s="32">
        <v>63.18900105858035</v>
      </c>
      <c r="E7" s="31">
        <v>63.367084639195134</v>
      </c>
      <c r="F7" s="31">
        <v>63.54516821980992</v>
      </c>
    </row>
    <row r="8" spans="1:6" x14ac:dyDescent="0.25">
      <c r="A8" s="30">
        <v>0.078513</v>
      </c>
      <c r="B8" s="31">
        <v>56.27448411589651</v>
      </c>
      <c r="C8" s="31">
        <v>56.423506054497246</v>
      </c>
      <c r="D8" s="31">
        <v>56.57252799309796</v>
      </c>
      <c r="E8" s="31">
        <v>56.721549931698675</v>
      </c>
      <c r="F8" s="31">
        <v>56.87057187029939</v>
      </c>
    </row>
    <row r="9" spans="1:6" x14ac:dyDescent="0.25">
      <c r="A9" s="30">
        <v>0.088513</v>
      </c>
      <c r="B9" s="31">
        <v>51.13354088847656</v>
      </c>
      <c r="C9" s="31">
        <v>51.26034918220763</v>
      </c>
      <c r="D9" s="31">
        <v>51.38715747593868</v>
      </c>
      <c r="E9" s="31">
        <v>51.513965769669745</v>
      </c>
      <c r="F9" s="31">
        <v>51.6407740634008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345232201000</v>
      </c>
      <c r="C5" s="18">
        <v>275910484000</v>
      </c>
      <c r="D5" s="18">
        <v>179203592000</v>
      </c>
      <c r="E5" s="18">
        <v>147964647000</v>
      </c>
      <c r="F5" s="8" t="s">
        <v>84</v>
      </c>
    </row>
    <row r="6" spans="1:6" x14ac:dyDescent="0.25">
      <c r="A6" t="s">
        <v>44</v>
      </c>
      <c r="B6" s="18">
        <v>12814671000</v>
      </c>
      <c r="C6" s="18">
        <v>9003611000</v>
      </c>
      <c r="D6" s="18">
        <v>3922284000</v>
      </c>
      <c r="E6" s="18">
        <v>1449685000</v>
      </c>
      <c r="F6" s="8" t="s">
        <v>85</v>
      </c>
    </row>
    <row r="7" spans="1:6" x14ac:dyDescent="0.25">
      <c r="A7" t="s">
        <v>86</v>
      </c>
      <c r="B7" s="18">
        <v>15920178000</v>
      </c>
      <c r="C7" s="18">
        <v>13750447000</v>
      </c>
      <c r="D7" s="18">
        <v>8202762000</v>
      </c>
      <c r="E7" s="18">
        <v>8318331000</v>
      </c>
      <c r="F7" s="8" t="s">
        <v>87</v>
      </c>
    </row>
    <row r="8" spans="1:6" x14ac:dyDescent="0.25">
      <c r="A8" t="s">
        <v>88</v>
      </c>
      <c r="B8" s="18">
        <v>17919527000</v>
      </c>
      <c r="C8" s="18">
        <v>16909550000</v>
      </c>
      <c r="D8" s="18">
        <v>15322494000</v>
      </c>
      <c r="E8" s="18">
        <v>10336988000</v>
      </c>
      <c r="F8" s="8" t="s">
        <v>89</v>
      </c>
    </row>
    <row r="9" spans="1:6" x14ac:dyDescent="0.25">
      <c r="A9" t="s">
        <v>90</v>
      </c>
      <c r="B9" s="18">
        <v>-18277927000</v>
      </c>
      <c r="C9" s="18">
        <v>-15330776000</v>
      </c>
      <c r="D9" s="18">
        <v>-11238177000</v>
      </c>
      <c r="E9" s="18">
        <v>-5671780000</v>
      </c>
      <c r="F9" s="8" t="s">
        <v>91</v>
      </c>
    </row>
    <row r="10" spans="1:6" x14ac:dyDescent="0.25">
      <c r="A10" t="s">
        <v>92</v>
      </c>
      <c r="B10" s="18">
        <v>43701418000</v>
      </c>
      <c r="C10" s="18">
        <v>37977154000</v>
      </c>
      <c r="D10" s="18">
        <v>27587796000</v>
      </c>
      <c r="E10" s="18">
        <v>13156364000</v>
      </c>
      <c r="F10" s="8" t="s">
        <v>93</v>
      </c>
    </row>
    <row r="11" spans="1:6" x14ac:dyDescent="0.25">
      <c r="A11" t="s">
        <v>94</v>
      </c>
      <c r="B11" s="18">
        <v>65319279000</v>
      </c>
      <c r="C11" s="18">
        <v>43057737000</v>
      </c>
      <c r="D11" s="18">
        <v>41290747000</v>
      </c>
      <c r="E11" s="18">
        <v>33341339000</v>
      </c>
      <c r="F11" s="8" t="s">
        <v>95</v>
      </c>
    </row>
    <row r="12" spans="1:6" x14ac:dyDescent="0.25">
      <c r="A12" t="s">
        <v>32</v>
      </c>
      <c r="B12" s="34">
        <v>10353696070</v>
      </c>
      <c r="C12" s="34">
        <v>10103269390</v>
      </c>
      <c r="D12" s="34">
        <v>10130002011</v>
      </c>
      <c r="E12" s="34">
        <v>10146990673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2026-09-19T00:09:35Z</dcterms:modified>
</cp:coreProperties>
</file>