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<sst xmlns="http://schemas.openxmlformats.org/spreadsheetml/2006/main" count="116" uniqueCount="104">
  <si>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Alibaba Health Information Technology Limited (0241.HK)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</si>
  <si>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</si>
  <si>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</si>
  <si>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</si>
  <si>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</si>
  <si>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</si>
  <si>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</si>
  <si>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</si>
  <si>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</si>
  <si>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</si>
  <si>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</si>
  <si>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</si>
  <si>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</si>
  <si>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</si>
  <si>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</si>
  <si>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</si>
  <si>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</si>
  <si>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</si>
  <si>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</si>
  <si>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</si>
  <si>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</si>
  <si>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</si>
  <si>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</si>
  <si>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</si>
  <si>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</si>
  <si>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</si>
  <si>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</si>
  <si>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</si>
  <si>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</si>
  <si>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</si>
  <si>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2026-03-31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</si>
  <si>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</si>
  <si>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</si>
  <si>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</si>
  <si>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</si>
  <si>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</si>
  <si>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</si>
  <si>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</si>
  <si>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</si>
  <si>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</si>
  <si>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</si>
  <si>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</si>
  <si>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</si>
  <si>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</si>
  <si>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</si>
  <si>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</si>
  <si>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</si>
  <si>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</si>
  <si>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</si>
  <si>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</si>
  <si>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</si>
  <si>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</si>
  <si>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</si>
  <si>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</si>
  <si>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</si>
  <si>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</si>
  <si>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</si>
  <si>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</si>
  <si>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</si>
  <si>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</si>
  <si>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</si>
  <si>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</si>
  <si>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</si>
  <si>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</si>
  <si>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</si>
  <si>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</si>
  <si>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</si>
  <si>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</si>
  <si>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</si>
  <si>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</si>
  <si>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</si>
  <si>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</si>
  <si>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</si>
  <si>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</si>
  <si>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</si>
  <si>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</si>
  <si>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</si>
  <si>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</si>
  <si>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</si>
  <si>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</si>
  <si>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</si>
  <si>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</si>
  <si>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</si>
  <si>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</si>
  <si>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</si>
  <si>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</si>
  <si>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</si>
  <si>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</si>
  <si>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</si>
  <si>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</si>
  <si>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</si>
  <si>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</si>
  <si>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</si>
  <si>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</si>
  <si>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</si>
  <si>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</si>
  <si>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</si>
  <si>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</si>
  <si>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CNY, trades in HKD. Modelled in CNY, converted at the end.</t>
  </si>
  <si>
    <t>Adjusted: Reported capital expenditure averages just 0.05%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</si>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</sst>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0.08575079232060556</v>
      </c>
    </row>
    <row r="7" spans="1:2" x14ac:dyDescent="0.25">
      <c r="A7" t="s">
        <v>5</v>
      </c>
      <c r="B7" s="6">
        <v>0.033745310458912374</v>
      </c>
    </row>
    <row r="8" spans="1:2" x14ac:dyDescent="0.25">
      <c r="A8" t="s">
        <v>6</v>
      </c>
      <c r="B8" s="6">
        <v>0.0709580128627264</v>
      </c>
    </row>
    <row r="9" spans="1:2" x14ac:dyDescent="0.25">
      <c r="A9" t="s">
        <v>7</v>
      </c>
      <c r="B9" s="6">
        <v>0.001950999911022639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0.24440731453198536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0.12973806053176476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1.39798</v>
      </c>
      <c r="C19" s="8" t="s">
        <v>19</v>
      </c>
    </row>
    <row r="20" spans="1:2" x14ac:dyDescent="0.25">
      <c r="A20" t="s">
        <v>20</v>
      </c>
      <c r="B20" s="10">
        <f>B17+B19*B18</f>
        <v>0.1298586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49577295872</v>
      </c>
    </row>
    <row r="23" spans="1:2" x14ac:dyDescent="0.25">
      <c r="A23" t="s">
        <v>24</v>
      </c>
      <c r="B23" s="11">
        <v>59755000</v>
      </c>
    </row>
    <row r="24" spans="1:2" x14ac:dyDescent="0.25">
      <c r="A24" t="s">
        <v>25</v>
      </c>
      <c r="B24" s="10">
        <f>B22/(B22+B23)</f>
        <v>0.9987961613562801</v>
      </c>
    </row>
    <row r="25" spans="1:2" x14ac:dyDescent="0.25">
      <c r="A25" t="s">
        <v>26</v>
      </c>
      <c r="B25" s="10">
        <f>1-B24</f>
        <v>0.0012038386437198678</v>
      </c>
    </row>
    <row r="26" spans="1:2" x14ac:dyDescent="0.25">
      <c r="A26" t="s">
        <v>27</v>
      </c>
      <c r="B26" s="12">
        <f>B24*B20+B25*B21*(1-B8)</f>
        <v>0.12973806053176476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34255122000</v>
      </c>
      <c r="C29" s="8" t="s">
        <v>30</v>
      </c>
    </row>
    <row r="30" spans="1:2" x14ac:dyDescent="0.25">
      <c r="A30" t="s">
        <v>31</v>
      </c>
      <c r="B30" s="11">
        <v>-10105669000</v>
      </c>
    </row>
    <row r="31" spans="1:2" x14ac:dyDescent="0.25">
      <c r="A31" t="s">
        <v>32</v>
      </c>
      <c r="B31" s="13">
        <v>16175300965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0.08575079232060556</v>
      </c>
      <c r="C5" s="10">
        <f>Assumptions!B6</f>
        <v>0.08575079232060556</v>
      </c>
      <c r="D5" s="10">
        <f>Assumptions!B6</f>
        <v>0.08575079232060556</v>
      </c>
      <c r="E5" s="10">
        <f>Assumptions!B6</f>
        <v>0.08575079232060556</v>
      </c>
      <c r="F5" s="10">
        <f>Assumptions!B6</f>
        <v>0.08575079232060556</v>
      </c>
    </row>
    <row r="6" spans="1:6" x14ac:dyDescent="0.25">
      <c r="A6" t="s">
        <v>43</v>
      </c>
      <c r="B6" s="18">
        <f>Assumptions!B29*(1+B5)</f>
        <v>37192525852.53901</v>
      </c>
      <c r="C6" s="18">
        <f>B6*(1+C5)</f>
        <v>40381814412.798836</v>
      </c>
      <c r="D6" s="18">
        <f>C6*(1+D5)</f>
        <v>43844586994.039986</v>
      </c>
      <c r="E6" s="18">
        <f>D6*(1+E5)</f>
        <v>47604295067.748634</v>
      </c>
      <c r="F6" s="18">
        <f>E6*(1+F5)</f>
        <v>51686401087.671974</v>
      </c>
    </row>
    <row r="7" spans="1:6" x14ac:dyDescent="0.25">
      <c r="A7" t="s">
        <v>5</v>
      </c>
      <c r="B7" s="10">
        <f>Assumptions!B7</f>
        <v>0.033745310458912374</v>
      </c>
      <c r="C7" s="10">
        <f>Assumptions!B7</f>
        <v>0.033745310458912374</v>
      </c>
      <c r="D7" s="10">
        <f>Assumptions!B7</f>
        <v>0.033745310458912374</v>
      </c>
      <c r="E7" s="10">
        <f>Assumptions!B7</f>
        <v>0.033745310458912374</v>
      </c>
      <c r="F7" s="10">
        <f>Assumptions!B7</f>
        <v>0.033745310458912374</v>
      </c>
    </row>
    <row r="8" spans="1:6" x14ac:dyDescent="0.25">
      <c r="A8" t="s">
        <v>44</v>
      </c>
      <c r="B8" s="18">
        <f>B6*B7</f>
        <v>1255073331.6450534</v>
      </c>
      <c r="C8" s="18">
        <f>C6*C7</f>
        <v>1362696864.254079</v>
      </c>
      <c r="D8" s="18">
        <f>D6*D7</f>
        <v>1479549200.056671</v>
      </c>
      <c r="E8" s="18">
        <f>E6*E7</f>
        <v>1606421716.2388487</v>
      </c>
      <c r="F8" s="18">
        <f>F6*F7</f>
        <v>1744173651.207357</v>
      </c>
    </row>
    <row r="9" spans="1:6" x14ac:dyDescent="0.25">
      <c r="A9" t="s">
        <v>45</v>
      </c>
      <c r="B9" s="18">
        <f>B8*(1-Assumptions!B8)</f>
        <v>1166015822.0345187</v>
      </c>
      <c r="C9" s="18">
        <f>C8*(1-Assumptions!B8)</f>
        <v>1266002602.6323411</v>
      </c>
      <c r="D9" s="18">
        <f>D8*(1-Assumptions!B8)</f>
        <v>1374563328.8880131</v>
      </c>
      <c r="E9" s="18">
        <f>E8*(1-Assumptions!B8)</f>
        <v>1492433223.4350095</v>
      </c>
      <c r="F9" s="18">
        <f>F8*(1-Assumptions!B8)</f>
        <v>1620410554.8301568</v>
      </c>
    </row>
    <row r="10" spans="1:6" x14ac:dyDescent="0.25">
      <c r="A10" t="s">
        <v>46</v>
      </c>
      <c r="B10" s="18">
        <f>B6*Assumptions!B9</f>
        <v>72562614.62901081</v>
      </c>
      <c r="C10" s="18">
        <f>C6*Assumptions!B9</f>
        <v>78784916.32630324</v>
      </c>
      <c r="D10" s="18">
        <f>D6*Assumptions!B9</f>
        <v>85540785.32419637</v>
      </c>
      <c r="E10" s="18">
        <f>E6*Assumptions!B9</f>
        <v>92875975.44147304</v>
      </c>
      <c r="F10" s="18">
        <f>F6*Assumptions!B9</f>
        <v>100840163.92312846</v>
      </c>
    </row>
    <row r="11" spans="1:6" x14ac:dyDescent="0.25">
      <c r="A11" t="s">
        <v>47</v>
      </c>
      <c r="B11" s="18">
        <f>-B6*Assumptions!B10</f>
        <v>-371925258.5253901</v>
      </c>
      <c r="C11" s="18">
        <f>-C6*Assumptions!B10</f>
        <v>-403818144.12798834</v>
      </c>
      <c r="D11" s="18">
        <f>-D6*Assumptions!B10</f>
        <v>-438445869.9403999</v>
      </c>
      <c r="E11" s="18">
        <f>-E6*Assumptions!B10</f>
        <v>-476042950.67748636</v>
      </c>
      <c r="F11" s="18">
        <f>-F6*Assumptions!B10</f>
        <v>-516864010.8767198</v>
      </c>
    </row>
    <row r="12" spans="1:6" x14ac:dyDescent="0.25">
      <c r="A12" t="s">
        <v>48</v>
      </c>
      <c r="B12" s="18">
        <f>-(B6-Assumptions!B29)*Assumptions!B11</f>
        <v>-717922987.2949672</v>
      </c>
      <c r="C12" s="18">
        <f>-(C6-B6)*Assumptions!B11</f>
        <v>-779485452.2806861</v>
      </c>
      <c r="D12" s="18">
        <f>-(D6-C6)*Assumptions!B11</f>
        <v>-846326947.4161406</v>
      </c>
      <c r="E12" s="18">
        <f>-(E6-D6)*Assumptions!B11</f>
        <v>-918900153.7193545</v>
      </c>
      <c r="F12" s="18">
        <f>-(F6-E6)*Assumptions!B11</f>
        <v>-997696569.9643146</v>
      </c>
    </row>
    <row r="13" spans="1:6" x14ac:dyDescent="0.25">
      <c r="A13" s="19" t="s">
        <v>49</v>
      </c>
      <c r="B13" s="20">
        <f>B9+B10+B11+B12</f>
        <v>148730190.8431723</v>
      </c>
      <c r="C13" s="20">
        <f>C9+C10+C11+C12</f>
        <v>161483922.5499699</v>
      </c>
      <c r="D13" s="20">
        <f>D9+D10+D11+D12</f>
        <v>175331296.85566902</v>
      </c>
      <c r="E13" s="20">
        <f>E9+E10+E11+E12</f>
        <v>190366094.47964156</v>
      </c>
      <c r="F13" s="20">
        <f>F9+F10+F11+F12</f>
        <v>206690137.91225088</v>
      </c>
    </row>
    <row r="14" spans="1:6" x14ac:dyDescent="0.25">
      <c r="A14" t="s">
        <v>50</v>
      </c>
      <c r="B14" s="21">
        <f>1/(1+Assumptions!$B$26)^(1-0.5*Assumptions!$B$32)</f>
        <v>0.9408299191676266</v>
      </c>
      <c r="C14" s="21">
        <f>1/(1+Assumptions!$B$26)^(2-0.5*Assumptions!$B$32)</f>
        <v>0.8327858926207906</v>
      </c>
      <c r="D14" s="21">
        <f>1/(1+Assumptions!$B$26)^(3-0.5*Assumptions!$B$32)</f>
        <v>0.7371495408668454</v>
      </c>
      <c r="E14" s="21">
        <f>1/(1+Assumptions!$B$26)^(4-0.5*Assumptions!$B$32)</f>
        <v>0.6524959781560965</v>
      </c>
      <c r="F14" s="21">
        <f>1/(1+Assumptions!$B$26)^(5-0.5*Assumptions!$B$32)</f>
        <v>0.5775639512835111</v>
      </c>
    </row>
    <row r="15" spans="1:6" x14ac:dyDescent="0.25">
      <c r="A15" s="19" t="s">
        <v>51</v>
      </c>
      <c r="B15" s="20">
        <f>B13*B14</f>
        <v>139929813.42876747</v>
      </c>
      <c r="C15" s="20">
        <f>C13*C14</f>
        <v>134481532.5846833</v>
      </c>
      <c r="D15" s="20">
        <f>D13*D14</f>
        <v>129245384.976745</v>
      </c>
      <c r="E15" s="20">
        <f>E13*E14</f>
        <v>124213111.0252496</v>
      </c>
      <c r="F15" s="20">
        <f>F13*F14</f>
        <v>119376772.74393345</v>
      </c>
    </row>
    <row r="17" spans="1:2" x14ac:dyDescent="0.25">
      <c r="A17" s="22" t="s">
        <v>52</v>
      </c>
      <c r="B17" s="23">
        <f>SUM(B15:F15)</f>
        <v>647246614.7593788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206690137.91225088</v>
      </c>
    </row>
    <row r="5" spans="1:2" x14ac:dyDescent="0.25">
      <c r="A5" t="s">
        <v>56</v>
      </c>
      <c r="B5" s="18">
        <f>IF(Assumptions!$B$33=0,B4,B4-Forecast!F11-Forecast!F10-Forecast!F12)</f>
        <v>1648291808.7337484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0.19269595905419798</v>
      </c>
    </row>
    <row r="7" spans="1:2" x14ac:dyDescent="0.25">
      <c r="A7" t="s">
        <v>58</v>
      </c>
      <c r="B7" s="18">
        <f>-MAX(Forecast!F9,0)*B6</f>
        <v>-317619170.8851283</v>
      </c>
    </row>
    <row r="8" spans="1:2" x14ac:dyDescent="0.25">
      <c r="A8" t="s">
        <v>59</v>
      </c>
      <c r="B8" s="18">
        <f>IF(OR(Assumptions!$B$33=0,Assumptions!B12&lt;=0),B5,MAX(B5+B7,0))</f>
        <v>1330672637.8486202</v>
      </c>
    </row>
    <row r="9" spans="1:2" x14ac:dyDescent="0.25">
      <c r="A9" t="s">
        <v>60</v>
      </c>
      <c r="B9" s="18">
        <f>B8*(1+Assumptions!B12)/(Assumptions!B26-Assumptions!B12)</f>
        <v>13022386006.290258</v>
      </c>
    </row>
    <row r="10" spans="1:2" x14ac:dyDescent="0.25">
      <c r="A10" t="s">
        <v>61</v>
      </c>
      <c r="B10" s="18">
        <f>B9/(1+Assumptions!B26)^(5-0.5*Assumptions!B32)</f>
        <v>7521260716.932104</v>
      </c>
    </row>
    <row r="11" spans="1:2" x14ac:dyDescent="0.25">
      <c r="A11" t="s">
        <v>62</v>
      </c>
      <c r="B11" s="18">
        <f>Forecast!B17+B10</f>
        <v>8168507331.691483</v>
      </c>
    </row>
    <row r="12" spans="1:2" x14ac:dyDescent="0.25">
      <c r="A12" t="s">
        <v>63</v>
      </c>
      <c r="B12" s="18">
        <f>-Assumptions!B30</f>
        <v>10105669000</v>
      </c>
    </row>
    <row r="13" spans="1:2" x14ac:dyDescent="0.25">
      <c r="A13" t="s">
        <v>64</v>
      </c>
      <c r="B13" s="18">
        <f>B11+B12</f>
        <v>18274176331.691483</v>
      </c>
    </row>
    <row r="14" spans="1:2" x14ac:dyDescent="0.25">
      <c r="A14" s="19" t="s">
        <v>65</v>
      </c>
      <c r="B14" s="24">
        <f>B13/Assumptions!B31</f>
        <v>1.1297580410548782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1845013815.1304853</v>
      </c>
    </row>
    <row r="18" spans="1:2" x14ac:dyDescent="0.25">
      <c r="A18" t="s">
        <v>60</v>
      </c>
      <c r="B18" s="18">
        <f>B17*Assumptions!B13</f>
        <v>36900276302.6097</v>
      </c>
    </row>
    <row r="19" spans="1:2" x14ac:dyDescent="0.25">
      <c r="A19" t="s">
        <v>61</v>
      </c>
      <c r="B19" s="18">
        <f>B18/(1+Assumptions!B26)^(5-0.5*Assumptions!B32)</f>
        <v>21312269384.78857</v>
      </c>
    </row>
    <row r="20" spans="1:2" x14ac:dyDescent="0.25">
      <c r="A20" t="s">
        <v>62</v>
      </c>
      <c r="B20" s="18">
        <f>Forecast!B17+B19</f>
        <v>21959515999.54795</v>
      </c>
    </row>
    <row r="21" spans="1:2" x14ac:dyDescent="0.25">
      <c r="A21" t="s">
        <v>63</v>
      </c>
      <c r="B21" s="18">
        <f>-Assumptions!B30</f>
        <v>10105669000</v>
      </c>
    </row>
    <row r="22" spans="1:2" x14ac:dyDescent="0.25">
      <c r="A22" t="s">
        <v>64</v>
      </c>
      <c r="B22" s="18">
        <f>B20+B21</f>
        <v>32065184999.54795</v>
      </c>
    </row>
    <row r="23" spans="1:2" x14ac:dyDescent="0.25">
      <c r="A23" s="19" t="s">
        <v>65</v>
      </c>
      <c r="B23" s="25">
        <f>B22/Assumptions!B31</f>
        <v>1.9823547684788287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3.065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1.3227207144670514</v>
      </c>
    </row>
    <row r="29" spans="1:2" x14ac:dyDescent="0.25">
      <c r="A29" s="19" t="s">
        <v>73</v>
      </c>
      <c r="B29" s="12">
        <f>B28/B26-1</f>
        <v>-0.5684434863076504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0.109738</v>
      </c>
      <c r="B5" s="31">
        <v>1.256482661633895</v>
      </c>
      <c r="C5" s="31">
        <v>1.259388708640221</v>
      </c>
      <c r="D5" s="31">
        <v>1.2622947556465458</v>
      </c>
      <c r="E5" s="31">
        <v>1.2652008026528712</v>
      </c>
      <c r="F5" s="31">
        <v>1.2681068496591967</v>
      </c>
    </row>
    <row r="6" spans="1:6" x14ac:dyDescent="0.25">
      <c r="A6" s="30">
        <v>0.119738</v>
      </c>
      <c r="B6" s="31">
        <v>1.1849159120647976</v>
      </c>
      <c r="C6" s="31">
        <v>1.1874738844917463</v>
      </c>
      <c r="D6" s="31">
        <v>1.1900318569186945</v>
      </c>
      <c r="E6" s="31">
        <v>1.1925898293456432</v>
      </c>
      <c r="F6" s="31">
        <v>1.1951478017725914</v>
      </c>
    </row>
    <row r="7" spans="1:6" x14ac:dyDescent="0.25">
      <c r="A7" s="30">
        <v>0.129738</v>
      </c>
      <c r="B7" s="31">
        <v>1.1252219400683816</v>
      </c>
      <c r="C7" s="31">
        <v>1.1274901576868055</v>
      </c>
      <c r="D7" s="32">
        <v>1.1297583753052296</v>
      </c>
      <c r="E7" s="31">
        <v>1.1320265929236537</v>
      </c>
      <c r="F7" s="31">
        <v>1.1342948105420776</v>
      </c>
    </row>
    <row r="8" spans="1:6" x14ac:dyDescent="0.25">
      <c r="A8" s="30">
        <v>0.139738</v>
      </c>
      <c r="B8" s="31">
        <v>1.0748080986175976</v>
      </c>
      <c r="C8" s="31">
        <v>1.0768321176129814</v>
      </c>
      <c r="D8" s="31">
        <v>1.0788561366083649</v>
      </c>
      <c r="E8" s="31">
        <v>1.080880155603749</v>
      </c>
      <c r="F8" s="31">
        <v>1.0829041745991328</v>
      </c>
    </row>
    <row r="9" spans="1:6" x14ac:dyDescent="0.25">
      <c r="A9" s="30">
        <v>0.149738</v>
      </c>
      <c r="B9" s="31">
        <v>1.0317769384341426</v>
      </c>
      <c r="C9" s="31">
        <v>1.0335929755566844</v>
      </c>
      <c r="D9" s="31">
        <v>1.035409012679226</v>
      </c>
      <c r="E9" s="31">
        <v>1.0372250498017674</v>
      </c>
      <c r="F9" s="31">
        <v>1.0390410869243092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34255122000</v>
      </c>
      <c r="C5" s="18">
        <v>30598292000</v>
      </c>
      <c r="D5" s="18">
        <v>27026555000</v>
      </c>
      <c r="E5" s="18">
        <v>26763016000</v>
      </c>
      <c r="F5" s="8" t="s">
        <v>84</v>
      </c>
    </row>
    <row r="6" spans="1:6" x14ac:dyDescent="0.25">
      <c r="A6" t="s">
        <v>44</v>
      </c>
      <c r="B6" s="18">
        <v>1891025000</v>
      </c>
      <c r="C6" s="18">
        <v>1576063000</v>
      </c>
      <c r="D6" s="18">
        <v>712260000</v>
      </c>
      <c r="E6" s="18">
        <v>51246000</v>
      </c>
      <c r="F6" s="8" t="s">
        <v>85</v>
      </c>
    </row>
    <row r="7" spans="1:6" x14ac:dyDescent="0.25">
      <c r="A7" t="s">
        <v>86</v>
      </c>
      <c r="B7" s="18">
        <v>53241000</v>
      </c>
      <c r="C7" s="18">
        <v>57605000</v>
      </c>
      <c r="D7" s="18">
        <v>53682000</v>
      </c>
      <c r="E7" s="18">
        <v>63719000</v>
      </c>
      <c r="F7" s="8" t="s">
        <v>87</v>
      </c>
    </row>
    <row r="8" spans="1:6" x14ac:dyDescent="0.25">
      <c r="A8" t="s">
        <v>88</v>
      </c>
      <c r="B8" s="18">
        <v>8987000</v>
      </c>
      <c r="C8" s="18">
        <v>18903000</v>
      </c>
      <c r="D8" s="18">
        <v>22780000</v>
      </c>
      <c r="E8" s="18">
        <v>5920000</v>
      </c>
      <c r="F8" s="8" t="s">
        <v>89</v>
      </c>
    </row>
    <row r="9" spans="1:6" x14ac:dyDescent="0.25">
      <c r="A9" t="s">
        <v>90</v>
      </c>
      <c r="B9" s="18">
        <v>893756000</v>
      </c>
      <c r="C9" s="18">
        <v>567971000</v>
      </c>
      <c r="D9" s="18">
        <v>337515000</v>
      </c>
      <c r="E9" s="18">
        <v>568130000</v>
      </c>
      <c r="F9" s="8" t="s">
        <v>91</v>
      </c>
    </row>
    <row r="10" spans="1:6" x14ac:dyDescent="0.25">
      <c r="A10" t="s">
        <v>92</v>
      </c>
      <c r="B10" s="18">
        <v>59755000</v>
      </c>
      <c r="C10" s="18">
        <v>35515000</v>
      </c>
      <c r="D10" s="18">
        <v>82170000</v>
      </c>
      <c r="E10" s="18">
        <v>77798000</v>
      </c>
      <c r="F10" s="8" t="s">
        <v>93</v>
      </c>
    </row>
    <row r="11" spans="1:6" x14ac:dyDescent="0.25">
      <c r="A11" t="s">
        <v>94</v>
      </c>
      <c r="B11" s="18">
        <v>10165424000</v>
      </c>
      <c r="C11" s="18">
        <v>8099843000</v>
      </c>
      <c r="D11" s="18">
        <v>9553110000</v>
      </c>
      <c r="E11" s="18">
        <v>10917171000</v>
      </c>
      <c r="F11" s="8" t="s">
        <v>95</v>
      </c>
    </row>
    <row r="12" spans="1:6" x14ac:dyDescent="0.25">
      <c r="A12" t="s">
        <v>32</v>
      </c>
      <c r="B12" s="34">
        <v>16175300965</v>
      </c>
      <c r="C12" s="34">
        <v>16135803904</v>
      </c>
      <c r="D12" s="34">
        <v>14090692671</v>
      </c>
      <c r="E12" s="34">
        <v>13541579646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