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<sst xmlns="http://schemas.openxmlformats.org/spreadsheetml/2006/main" count="119" uniqueCount="102">
  <si>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CITIC Limited (0267.HK)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</si>
  <si>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</si>
  <si>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</si>
  <si>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</si>
  <si>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</si>
  <si>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</si>
  <si>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</si>
  <si>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</si>
  <si>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</si>
  <si>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</si>
  <si>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</si>
  <si>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</si>
  <si>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</si>
  <si>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</si>
  <si>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</si>
  <si>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</si>
  <si>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</si>
  <si>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</si>
  <si>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</si>
  <si>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</si>
  <si>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</si>
  <si>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</si>
  <si>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</si>
  <si>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</si>
  <si>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</si>
  <si>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</si>
  <si>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</si>
  <si>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</si>
  <si>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</si>
  <si>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</si>
  <si>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2024-12-31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</si>
  <si>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</si>
  <si>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</si>
  <si>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</si>
  <si>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</si>
  <si>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</si>
  <si>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</si>
  <si>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</si>
  <si>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</si>
  <si>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</si>
  <si>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</si>
  <si>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</si>
  <si>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</si>
  <si>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</si>
  <si>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</si>
  <si>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</si>
  <si>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</si>
  <si>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</si>
  <si>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</si>
  <si>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</si>
  <si>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</si>
  <si>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</si>
  <si>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</si>
  <si>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</si>
  <si>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</si>
  <si>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</si>
  <si>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</si>
  <si>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</si>
  <si>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</si>
  <si>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</si>
  <si>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</si>
  <si>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</si>
  <si>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</si>
  <si>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</si>
  <si>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</si>
  <si>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</si>
  <si>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</si>
  <si>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</si>
  <si>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</si>
  <si>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</si>
  <si>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</si>
  <si>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</si>
  <si>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</si>
  <si>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</si>
  <si>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</si>
  <si>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</si>
  <si>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</si>
  <si>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</si>
  <si>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</si>
  <si>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</si>
  <si>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2024-12-31</t>
  </si>
  <si>
    <t>2023-12-31</t>
  </si>
  <si>
    <t>2022-12-31</t>
  </si>
  <si>
    <t>2021-12-31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</si>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</sst>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0.08414662277744012</v>
      </c>
    </row>
    <row r="7" spans="1:2" x14ac:dyDescent="0.25">
      <c r="A7" t="s">
        <v>5</v>
      </c>
      <c r="B7" s="6">
        <v>0.13513889869732731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0.02569094654777521</v>
      </c>
    </row>
    <row r="10" spans="1:2" x14ac:dyDescent="0.25">
      <c r="A10" t="s">
        <v>8</v>
      </c>
      <c r="B10" s="6">
        <v>0.02724426031916011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10.776325675017933</v>
      </c>
    </row>
    <row r="14" spans="1:3" x14ac:dyDescent="0.25">
      <c r="A14" t="s">
        <v>12</v>
      </c>
      <c r="B14" s="6">
        <v>0.03567270984729477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0.91491</v>
      </c>
      <c r="C19" s="8" t="s">
        <v>19</v>
      </c>
    </row>
    <row r="20" spans="1:2" x14ac:dyDescent="0.25">
      <c r="A20" t="s">
        <v>20</v>
      </c>
      <c r="B20" s="10">
        <f>B17+B19*B18</f>
        <v>0.09604370000000001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379337015296</v>
      </c>
    </row>
    <row r="23" spans="1:2" x14ac:dyDescent="0.25">
      <c r="A23" t="s">
        <v>24</v>
      </c>
      <c r="B23" s="11">
        <v>2557991000000</v>
      </c>
    </row>
    <row r="24" spans="1:2" x14ac:dyDescent="0.25">
      <c r="A24" t="s">
        <v>25</v>
      </c>
      <c r="B24" s="10">
        <f>B22/(B22+B23)</f>
        <v>0.12914356630264648</v>
      </c>
    </row>
    <row r="25" spans="1:2" x14ac:dyDescent="0.25">
      <c r="A25" t="s">
        <v>26</v>
      </c>
      <c r="B25" s="10">
        <f>1-B24</f>
        <v>0.8708564336973535</v>
      </c>
    </row>
    <row r="26" spans="1:2" x14ac:dyDescent="0.25">
      <c r="A26" t="s">
        <v>27</v>
      </c>
      <c r="B26" s="12">
        <f>B24*B20+B25*B21*(1-B8)</f>
        <v>0.03567270984729477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942638000000</v>
      </c>
      <c r="C29" s="8" t="s">
        <v>30</v>
      </c>
    </row>
    <row r="30" spans="1:2" x14ac:dyDescent="0.25">
      <c r="A30" t="s">
        <v>31</v>
      </c>
      <c r="B30" s="11">
        <v>1258158000000</v>
      </c>
    </row>
    <row r="31" spans="1:2" x14ac:dyDescent="0.25">
      <c r="A31" t="s">
        <v>32</v>
      </c>
      <c r="B31" s="13">
        <v>29090000000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0.08414662277744012</v>
      </c>
      <c r="C5" s="10">
        <f>Assumptions!B6</f>
        <v>0.08414662277744012</v>
      </c>
      <c r="D5" s="10">
        <f>Assumptions!B6</f>
        <v>0.08414662277744012</v>
      </c>
      <c r="E5" s="10">
        <f>Assumptions!B6</f>
        <v>0.08414662277744012</v>
      </c>
      <c r="F5" s="10">
        <f>Assumptions!B6</f>
        <v>0.08414662277744012</v>
      </c>
    </row>
    <row r="6" spans="1:6" x14ac:dyDescent="0.25">
      <c r="A6" t="s">
        <v>43</v>
      </c>
      <c r="B6" s="18">
        <f>Assumptions!B29*(1+B5)</f>
        <v>1021957804201.6805</v>
      </c>
      <c r="C6" s="18">
        <f>B6*(1+C5)</f>
        <v>1107952102046.3003</v>
      </c>
      <c r="D6" s="18">
        <f>C6*(1+D5)</f>
        <v>1201182529632.662</v>
      </c>
      <c r="E6" s="18">
        <f>D6*(1+E5)</f>
        <v>1302257982840.513</v>
      </c>
      <c r="F6" s="18">
        <f>E6*(1+F5)</f>
        <v>1411838594081.5037</v>
      </c>
    </row>
    <row r="7" spans="1:6" x14ac:dyDescent="0.25">
      <c r="A7" t="s">
        <v>5</v>
      </c>
      <c r="B7" s="10">
        <f>Assumptions!B7</f>
        <v>0.13513889869732731</v>
      </c>
      <c r="C7" s="10">
        <f>Assumptions!B7</f>
        <v>0.13513889869732731</v>
      </c>
      <c r="D7" s="10">
        <f>Assumptions!B7</f>
        <v>0.13513889869732731</v>
      </c>
      <c r="E7" s="10">
        <f>Assumptions!B7</f>
        <v>0.13513889869732731</v>
      </c>
      <c r="F7" s="10">
        <f>Assumptions!B7</f>
        <v>0.13513889869732731</v>
      </c>
    </row>
    <row r="8" spans="1:6" x14ac:dyDescent="0.25">
      <c r="A8" t="s">
        <v>44</v>
      </c>
      <c r="B8" s="18">
        <f>B6*B7</f>
        <v>138106252174.95398</v>
      </c>
      <c r="C8" s="18">
        <f>C6*C7</f>
        <v>149727426879.92584</v>
      </c>
      <c r="D8" s="18">
        <f>D6*D7</f>
        <v>162326484189.02768</v>
      </c>
      <c r="E8" s="18">
        <f>E6*E7</f>
        <v>175985709620.8699</v>
      </c>
      <c r="F8" s="18">
        <f>F6*F7</f>
        <v>190794312742.55734</v>
      </c>
    </row>
    <row r="9" spans="1:6" x14ac:dyDescent="0.25">
      <c r="A9" t="s">
        <v>45</v>
      </c>
      <c r="B9" s="18">
        <f>B8*(1-Assumptions!B8)</f>
        <v>115318720566.08656</v>
      </c>
      <c r="C9" s="18">
        <f>C8*(1-Assumptions!B8)</f>
        <v>125022401444.73807</v>
      </c>
      <c r="D9" s="18">
        <f>D8*(1-Assumptions!B8)</f>
        <v>135542614297.8381</v>
      </c>
      <c r="E9" s="18">
        <f>E8*(1-Assumptions!B8)</f>
        <v>146948067533.42636</v>
      </c>
      <c r="F9" s="18">
        <f>F8*(1-Assumptions!B8)</f>
        <v>159313251140.03537</v>
      </c>
    </row>
    <row r="10" spans="1:6" x14ac:dyDescent="0.25">
      <c r="A10" t="s">
        <v>46</v>
      </c>
      <c r="B10" s="18">
        <f>B6*Assumptions!B9</f>
        <v>26255063321.8271</v>
      </c>
      <c r="C10" s="18">
        <f>C6*Assumptions!B9</f>
        <v>28464338231.166687</v>
      </c>
      <c r="D10" s="18">
        <f>D6*Assumptions!B9</f>
        <v>30859516162.914135</v>
      </c>
      <c r="E10" s="18">
        <f>E6*Assumptions!B9</f>
        <v>33456240228.569183</v>
      </c>
      <c r="F10" s="18">
        <f>F6*Assumptions!B9</f>
        <v>36271469854.63401</v>
      </c>
    </row>
    <row r="11" spans="1:6" x14ac:dyDescent="0.25">
      <c r="A11" t="s">
        <v>47</v>
      </c>
      <c r="B11" s="18">
        <f>-B6*Assumptions!B10</f>
        <v>-27842484452.867844</v>
      </c>
      <c r="C11" s="18">
        <f>-C6*Assumptions!B10</f>
        <v>-30185335489.310055</v>
      </c>
      <c r="D11" s="18">
        <f>-D6*Assumptions!B10</f>
        <v>-32725329528.1395</v>
      </c>
      <c r="E11" s="18">
        <f>-E6*Assumptions!B10</f>
        <v>-35479055487.21127</v>
      </c>
      <c r="F11" s="18">
        <f>-F6*Assumptions!B10</f>
        <v>-38464498185.79351</v>
      </c>
    </row>
    <row r="12" spans="1:6" x14ac:dyDescent="0.25">
      <c r="A12" t="s">
        <v>48</v>
      </c>
      <c r="B12" s="18">
        <f>-(B6-Assumptions!B29)*Assumptions!B11</f>
        <v>-79319804201.68054</v>
      </c>
      <c r="C12" s="18">
        <f>-(C6-B6)*Assumptions!B11</f>
        <v>-85994297844.61975</v>
      </c>
      <c r="D12" s="18">
        <f>-(D6-C6)*Assumptions!B11</f>
        <v>-93230427586.36182</v>
      </c>
      <c r="E12" s="18">
        <f>-(E6-D6)*Assumptions!B11</f>
        <v>-101075453207.85083</v>
      </c>
      <c r="F12" s="18">
        <f>-(F6-E6)*Assumptions!B11</f>
        <v>-109580611240.99072</v>
      </c>
    </row>
    <row r="13" spans="1:6" x14ac:dyDescent="0.25">
      <c r="A13" s="19" t="s">
        <v>49</v>
      </c>
      <c r="B13" s="20">
        <f>B9+B10+B11+B12</f>
        <v>34411495233.36528</v>
      </c>
      <c r="C13" s="20">
        <f>C9+C10+C11+C12</f>
        <v>37307106341.974945</v>
      </c>
      <c r="D13" s="20">
        <f>D9+D10+D11+D12</f>
        <v>40446373346.250916</v>
      </c>
      <c r="E13" s="20">
        <f>E9+E10+E11+E12</f>
        <v>43849799066.93344</v>
      </c>
      <c r="F13" s="20">
        <f>F9+F10+F11+F12</f>
        <v>47539611567.88513</v>
      </c>
    </row>
    <row r="14" spans="1:6" x14ac:dyDescent="0.25">
      <c r="A14" t="s">
        <v>50</v>
      </c>
      <c r="B14" s="21">
        <f>1/(1+Assumptions!$B$26)^(1-0.5*Assumptions!$B$32)</f>
        <v>0.9826270914936404</v>
      </c>
      <c r="C14" s="21">
        <f>1/(1+Assumptions!$B$26)^(2-0.5*Assumptions!$B$32)</f>
        <v>0.9487814848752018</v>
      </c>
      <c r="D14" s="21">
        <f>1/(1+Assumptions!$B$26)^(3-0.5*Assumptions!$B$32)</f>
        <v>0.9161016562994068</v>
      </c>
      <c r="E14" s="21">
        <f>1/(1+Assumptions!$B$26)^(4-0.5*Assumptions!$B$32)</f>
        <v>0.8845474517084473</v>
      </c>
      <c r="F14" s="21">
        <f>1/(1+Assumptions!$B$26)^(5-0.5*Assumptions!$B$32)</f>
        <v>0.8540801001108445</v>
      </c>
    </row>
    <row r="15" spans="1:6" x14ac:dyDescent="0.25">
      <c r="A15" s="19" t="s">
        <v>51</v>
      </c>
      <c r="B15" s="20">
        <f>B13*B14</f>
        <v>33813667475.108994</v>
      </c>
      <c r="C15" s="20">
        <f>C13*C14</f>
        <v>35396291751.53604</v>
      </c>
      <c r="D15" s="20">
        <f>D13*D14</f>
        <v>37052989613.80464</v>
      </c>
      <c r="E15" s="20">
        <f>E13*E14</f>
        <v>38787228022.58343</v>
      </c>
      <c r="F15" s="20">
        <f>F13*F14</f>
        <v>40602636207.12999</v>
      </c>
    </row>
    <row r="17" spans="1:2" x14ac:dyDescent="0.25">
      <c r="A17" s="22" t="s">
        <v>52</v>
      </c>
      <c r="B17" s="23">
        <f>SUM(B15:F15)</f>
        <v>185652813070.1631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47539611567.88513</v>
      </c>
    </row>
    <row r="5" spans="1:2" x14ac:dyDescent="0.25">
      <c r="A5" t="s">
        <v>56</v>
      </c>
      <c r="B5" s="18">
        <f>IF(Assumptions!$B$33=0,B4,B4-Forecast!F11-Forecast!F10-Forecast!F12)</f>
        <v>163951453389.87827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0.700815836728363</v>
      </c>
    </row>
    <row r="7" spans="1:2" x14ac:dyDescent="0.25">
      <c r="A7" t="s">
        <v>58</v>
      </c>
      <c r="B7" s="18">
        <f>-MAX(Forecast!F9,0)*B6</f>
        <v>-114899774990.25874</v>
      </c>
    </row>
    <row r="8" spans="1:2" x14ac:dyDescent="0.25">
      <c r="A8" t="s">
        <v>59</v>
      </c>
      <c r="B8" s="18">
        <f>IF(OR(Assumptions!$B$33=0,Assumptions!B12&lt;=0),B5,MAX(B5+B7,0))</f>
        <v>49051678399.61952</v>
      </c>
    </row>
    <row r="9" spans="1:2" x14ac:dyDescent="0.25">
      <c r="A9" t="s">
        <v>60</v>
      </c>
      <c r="B9" s="18">
        <f>B8*(1+Assumptions!B12)/(Assumptions!B26-Assumptions!B12)</f>
        <v>4710890774600.608</v>
      </c>
    </row>
    <row r="10" spans="1:2" x14ac:dyDescent="0.25">
      <c r="A10" t="s">
        <v>61</v>
      </c>
      <c r="B10" s="18">
        <f>B9/(1+Assumptions!B26)^(5-0.5*Assumptions!B32)</f>
        <v>4023478064382.141</v>
      </c>
    </row>
    <row r="11" spans="1:2" x14ac:dyDescent="0.25">
      <c r="A11" t="s">
        <v>62</v>
      </c>
      <c r="B11" s="18">
        <f>Forecast!B17+B10</f>
        <v>4209130877452.304</v>
      </c>
    </row>
    <row r="12" spans="1:2" x14ac:dyDescent="0.25">
      <c r="A12" t="s">
        <v>63</v>
      </c>
      <c r="B12" s="18">
        <f>-Assumptions!B30</f>
        <v>-1258158000000</v>
      </c>
    </row>
    <row r="13" spans="1:2" x14ac:dyDescent="0.25">
      <c r="A13" t="s">
        <v>64</v>
      </c>
      <c r="B13" s="18">
        <f>B11+B12</f>
        <v>2950972877452.304</v>
      </c>
    </row>
    <row r="14" spans="1:2" x14ac:dyDescent="0.25">
      <c r="A14" s="19" t="s">
        <v>65</v>
      </c>
      <c r="B14" s="24">
        <f>B13/Assumptions!B31</f>
        <v>101.44286275188395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227065782597.19135</v>
      </c>
    </row>
    <row r="18" spans="1:2" x14ac:dyDescent="0.25">
      <c r="A18" t="s">
        <v>60</v>
      </c>
      <c r="B18" s="18">
        <f>B17*Assumptions!B13</f>
        <v>2446934822920.1533</v>
      </c>
    </row>
    <row r="19" spans="1:2" x14ac:dyDescent="0.25">
      <c r="A19" t="s">
        <v>61</v>
      </c>
      <c r="B19" s="18">
        <f>B18/(1+Assumptions!B26)^(5-0.5*Assumptions!B32)</f>
        <v>2089878338524.356</v>
      </c>
    </row>
    <row r="20" spans="1:2" x14ac:dyDescent="0.25">
      <c r="A20" t="s">
        <v>62</v>
      </c>
      <c r="B20" s="18">
        <f>Forecast!B17+B19</f>
        <v>2275531151594.519</v>
      </c>
    </row>
    <row r="21" spans="1:2" x14ac:dyDescent="0.25">
      <c r="A21" t="s">
        <v>63</v>
      </c>
      <c r="B21" s="18">
        <f>-Assumptions!B30</f>
        <v>-1258158000000</v>
      </c>
    </row>
    <row r="22" spans="1:2" x14ac:dyDescent="0.25">
      <c r="A22" t="s">
        <v>64</v>
      </c>
      <c r="B22" s="18">
        <f>B20+B21</f>
        <v>1017373151594.519</v>
      </c>
    </row>
    <row r="23" spans="1:2" x14ac:dyDescent="0.25">
      <c r="A23" s="19" t="s">
        <v>65</v>
      </c>
      <c r="B23" s="25">
        <f>B22/Assumptions!B31</f>
        <v>34.97329500153039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13.04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118.76930370990574</v>
      </c>
    </row>
    <row r="29" spans="1:2" x14ac:dyDescent="0.25">
      <c r="A29" s="19" t="s">
        <v>73</v>
      </c>
      <c r="B29" s="12">
        <f>B28/B26-1</f>
        <v>8.108075437876208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0.015673</v>
      </c>
      <c r="B5" s="31">
        <v>4476.775429862009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0.025673</v>
      </c>
      <c r="B6" s="31">
        <v>235.6125010114177</v>
      </c>
      <c r="C6" s="31">
        <v>348.3982736120145</v>
      </c>
      <c r="D6" s="31">
        <v>2126.327167387616</v>
      </c>
      <c r="E6" s="31" t="s">
        <v>76</v>
      </c>
      <c r="F6" s="31" t="s">
        <v>76</v>
      </c>
    </row>
    <row r="7" spans="1:6" x14ac:dyDescent="0.25">
      <c r="A7" s="30">
        <v>0.035673</v>
      </c>
      <c r="B7" s="31">
        <v>100.0921921214373</v>
      </c>
      <c r="C7" s="31">
        <v>100.76687544506636</v>
      </c>
      <c r="D7" s="32">
        <v>101.44155876869542</v>
      </c>
      <c r="E7" s="31">
        <v>102.11624209232451</v>
      </c>
      <c r="F7" s="31">
        <v>703.4095588795093</v>
      </c>
    </row>
    <row r="8" spans="1:6" x14ac:dyDescent="0.25">
      <c r="A8" s="30">
        <v>0.045673</v>
      </c>
      <c r="B8" s="31">
        <v>65.4214514214328</v>
      </c>
      <c r="C8" s="31">
        <v>65.92611328889524</v>
      </c>
      <c r="D8" s="31">
        <v>66.43077515635765</v>
      </c>
      <c r="E8" s="31">
        <v>66.93543702382007</v>
      </c>
      <c r="F8" s="31">
        <v>67.44009889128245</v>
      </c>
    </row>
    <row r="9" spans="1:6" x14ac:dyDescent="0.25">
      <c r="A9" s="30">
        <v>0.055673</v>
      </c>
      <c r="B9" s="31">
        <v>43.34634530731641</v>
      </c>
      <c r="C9" s="31">
        <v>43.743001798721906</v>
      </c>
      <c r="D9" s="31">
        <v>44.13965829012737</v>
      </c>
      <c r="E9" s="31">
        <v>44.536314781532845</v>
      </c>
      <c r="F9" s="31">
        <v>44.93297127293829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942638000000</v>
      </c>
      <c r="C5" s="18">
        <v>882683000000</v>
      </c>
      <c r="D5" s="18">
        <v>844903000000</v>
      </c>
      <c r="E5" s="18">
        <v>739743025829.5012</v>
      </c>
      <c r="F5" s="8" t="s">
        <v>85</v>
      </c>
    </row>
    <row r="6" spans="1:6" x14ac:dyDescent="0.25">
      <c r="A6" t="s">
        <v>44</v>
      </c>
      <c r="B6" s="18">
        <v>124393000000</v>
      </c>
      <c r="C6" s="18">
        <v>121380000000</v>
      </c>
      <c r="D6" s="18">
        <v>123083000000</v>
      </c>
      <c r="E6" s="18">
        <v>92766227625.8454</v>
      </c>
      <c r="F6" s="8" t="s">
        <v>86</v>
      </c>
    </row>
    <row r="7" spans="1:6" x14ac:dyDescent="0.25">
      <c r="A7" t="s">
        <v>87</v>
      </c>
      <c r="B7" s="18">
        <v>27560000000</v>
      </c>
      <c r="C7" s="18">
        <v>23059000000</v>
      </c>
      <c r="D7" s="18">
        <v>20240000000</v>
      </c>
      <c r="E7" s="18">
        <v>17345134815.582336</v>
      </c>
      <c r="F7" s="8" t="s">
        <v>88</v>
      </c>
    </row>
    <row r="8" spans="1:6" x14ac:dyDescent="0.25">
      <c r="A8" t="s">
        <v>89</v>
      </c>
      <c r="B8" s="18">
        <v>28647000000</v>
      </c>
      <c r="C8" s="18">
        <v>24304000000</v>
      </c>
      <c r="D8" s="18">
        <v>20267000000</v>
      </c>
      <c r="E8" s="18">
        <v>20021288038.306965</v>
      </c>
      <c r="F8" s="8" t="s">
        <v>90</v>
      </c>
    </row>
    <row r="9" spans="1:6" x14ac:dyDescent="0.25">
      <c r="A9" t="s">
        <v>91</v>
      </c>
      <c r="B9" s="18">
        <v>270913000000</v>
      </c>
      <c r="C9" s="18">
        <v>192964000000</v>
      </c>
      <c r="D9" s="18">
        <v>26087000000</v>
      </c>
      <c r="E9" s="18">
        <v>216652340864.26624</v>
      </c>
      <c r="F9" s="8" t="s">
        <v>92</v>
      </c>
    </row>
    <row r="10" spans="1:6" x14ac:dyDescent="0.25">
      <c r="A10" t="s">
        <v>93</v>
      </c>
      <c r="B10" s="18">
        <v>2557991000000</v>
      </c>
      <c r="C10" s="18">
        <v>2495022000000</v>
      </c>
      <c r="D10" s="18">
        <v>1948275000000</v>
      </c>
      <c r="E10" s="18">
        <v>1449629000000</v>
      </c>
      <c r="F10" s="8" t="s">
        <v>94</v>
      </c>
    </row>
    <row r="11" spans="1:6" x14ac:dyDescent="0.25">
      <c r="A11" t="s">
        <v>95</v>
      </c>
      <c r="B11" s="18">
        <v>1299833000000</v>
      </c>
      <c r="C11" s="18">
        <v>1199907000000</v>
      </c>
      <c r="D11" s="18">
        <v>1086385000000</v>
      </c>
      <c r="E11" s="18">
        <v>1246784000000</v>
      </c>
      <c r="F11" s="8" t="s">
        <v>96</v>
      </c>
    </row>
    <row r="12" spans="1:6" x14ac:dyDescent="0.25">
      <c r="A12" t="s">
        <v>32</v>
      </c>
      <c r="B12" s="34">
        <v>29090000000</v>
      </c>
      <c r="C12" s="34">
        <v>29090000000</v>
      </c>
      <c r="D12" s="34">
        <v>29090000000</v>
      </c>
      <c r="E12" s="34">
        <v>29090000000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