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<sst xmlns="http://schemas.openxmlformats.org/spreadsheetml/2006/main" count="113" uniqueCount="101">
  <si>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BYD Electronic (International) Company Limited (0285.HK)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</si>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</sst>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0.1874723775704128</v>
      </c>
    </row>
    <row r="7" spans="1:2" x14ac:dyDescent="0.25">
      <c r="A7" t="s">
        <v>5</v>
      </c>
      <c r="B7" s="6">
        <v>0.022388843288670465</v>
      </c>
    </row>
    <row r="8" spans="1:2" x14ac:dyDescent="0.25">
      <c r="A8" t="s">
        <v>6</v>
      </c>
      <c r="B8" s="6">
        <v>0.10194373057340719</v>
      </c>
    </row>
    <row r="9" spans="1:2" x14ac:dyDescent="0.25">
      <c r="A9" t="s">
        <v>7</v>
      </c>
      <c r="B9" s="6">
        <v>0.03048541655684191</v>
      </c>
    </row>
    <row r="10" spans="1:2" x14ac:dyDescent="0.25">
      <c r="A10" t="s">
        <v>8</v>
      </c>
      <c r="B10" s="6">
        <v>0.027166524313399873</v>
      </c>
    </row>
    <row r="11" spans="1:2" x14ac:dyDescent="0.25">
      <c r="A11" t="s">
        <v>9</v>
      </c>
      <c r="B11" s="6">
        <v>-0.10143353494911708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4.7375403957437445</v>
      </c>
    </row>
    <row r="14" spans="1:3" x14ac:dyDescent="0.25">
      <c r="A14" t="s">
        <v>12</v>
      </c>
      <c r="B14" s="6">
        <v>0.08125214498407005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0.45997999999999994</v>
      </c>
      <c r="C19" s="8" t="s">
        <v>19</v>
      </c>
    </row>
    <row r="20" spans="1:2" x14ac:dyDescent="0.25">
      <c r="A20" t="s">
        <v>20</v>
      </c>
      <c r="B20" s="10">
        <f>B17+B19*B18</f>
        <v>0.0641986</v>
      </c>
    </row>
    <row r="21" spans="1:3" x14ac:dyDescent="0.25">
      <c r="A21" t="s">
        <v>21</v>
      </c>
      <c r="B21" s="6">
        <v>0.03468902815901575</v>
      </c>
      <c r="C21" s="8" t="s">
        <v>22</v>
      </c>
    </row>
    <row r="22" spans="1:2" x14ac:dyDescent="0.25">
      <c r="A22" t="s">
        <v>23</v>
      </c>
      <c r="B22" s="11">
        <v>53412458496</v>
      </c>
    </row>
    <row r="23" spans="1:2" x14ac:dyDescent="0.25">
      <c r="A23" t="s">
        <v>24</v>
      </c>
      <c r="B23" s="11">
        <v>8890531000</v>
      </c>
    </row>
    <row r="24" spans="1:2" x14ac:dyDescent="0.25">
      <c r="A24" t="s">
        <v>25</v>
      </c>
      <c r="B24" s="10">
        <f>B22/(B22+B23)</f>
        <v>0.8573016949600661</v>
      </c>
    </row>
    <row r="25" spans="1:2" x14ac:dyDescent="0.25">
      <c r="A25" t="s">
        <v>26</v>
      </c>
      <c r="B25" s="10">
        <f>1-B24</f>
        <v>0.14269830503993386</v>
      </c>
    </row>
    <row r="26" spans="1:2" x14ac:dyDescent="0.25">
      <c r="A26" t="s">
        <v>27</v>
      </c>
      <c r="B26" s="12">
        <f>B24*B20+B25*B21*(1-B8)</f>
        <v>0.05948300596996493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179477404000</v>
      </c>
      <c r="C29" s="8" t="s">
        <v>30</v>
      </c>
    </row>
    <row r="30" spans="1:2" x14ac:dyDescent="0.25">
      <c r="A30" t="s">
        <v>31</v>
      </c>
      <c r="B30" s="11">
        <v>-6816830000</v>
      </c>
    </row>
    <row r="31" spans="1:2" x14ac:dyDescent="0.25">
      <c r="A31" t="s">
        <v>32</v>
      </c>
      <c r="B31" s="13">
        <v>2248189500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0.1874723775704128</v>
      </c>
      <c r="C5" s="10">
        <f>Assumptions!B6</f>
        <v>0.1874723775704128</v>
      </c>
      <c r="D5" s="10">
        <f>Assumptions!B6</f>
        <v>0.1874723775704128</v>
      </c>
      <c r="E5" s="10">
        <f>Assumptions!B6</f>
        <v>0.1874723775704128</v>
      </c>
      <c r="F5" s="10">
        <f>Assumptions!B6</f>
        <v>0.1874723775704128</v>
      </c>
    </row>
    <row r="6" spans="1:6" x14ac:dyDescent="0.25">
      <c r="A6" t="s">
        <v>43</v>
      </c>
      <c r="B6" s="18">
        <f>Assumptions!B29*(1+B5)</f>
        <v>213124459648.0455</v>
      </c>
      <c r="C6" s="18">
        <f>B6*(1+C5)</f>
        <v>253079408816.6741</v>
      </c>
      <c r="D6" s="18">
        <f>C6*(1+D5)</f>
        <v>300524807301.6505</v>
      </c>
      <c r="E6" s="18">
        <f>D6*(1+E5)</f>
        <v>356864907445.3811</v>
      </c>
      <c r="F6" s="18">
        <f>E6*(1+F5)</f>
        <v>423767220115.612</v>
      </c>
    </row>
    <row r="7" spans="1:6" x14ac:dyDescent="0.25">
      <c r="A7" t="s">
        <v>5</v>
      </c>
      <c r="B7" s="10">
        <f>Assumptions!B7</f>
        <v>0.022388843288670465</v>
      </c>
      <c r="C7" s="10">
        <f>Assumptions!B7</f>
        <v>0.022388843288670465</v>
      </c>
      <c r="D7" s="10">
        <f>Assumptions!B7</f>
        <v>0.022388843288670465</v>
      </c>
      <c r="E7" s="10">
        <f>Assumptions!B7</f>
        <v>0.022388843288670465</v>
      </c>
      <c r="F7" s="10">
        <f>Assumptions!B7</f>
        <v>0.022388843288670465</v>
      </c>
    </row>
    <row r="8" spans="1:6" x14ac:dyDescent="0.25">
      <c r="A8" t="s">
        <v>44</v>
      </c>
      <c r="B8" s="18">
        <f>B6*B7</f>
        <v>4771610128.042663</v>
      </c>
      <c r="C8" s="18">
        <f>C6*C7</f>
        <v>5666155223.585883</v>
      </c>
      <c r="D8" s="18">
        <f>D6*D7</f>
        <v>6728402815.034543</v>
      </c>
      <c r="E8" s="18">
        <f>E6*E7</f>
        <v>7989792488.020527</v>
      </c>
      <c r="F8" s="18">
        <f>F6*F7</f>
        <v>9487657882.043959</v>
      </c>
    </row>
    <row r="9" spans="1:6" x14ac:dyDescent="0.25">
      <c r="A9" t="s">
        <v>45</v>
      </c>
      <c r="B9" s="18">
        <f>B8*(1-Assumptions!B8)</f>
        <v>4285174390.7481403</v>
      </c>
      <c r="C9" s="18">
        <f>C8*(1-Assumptions!B8)</f>
        <v>5088526222.08554</v>
      </c>
      <c r="D9" s="18">
        <f>D8*(1-Assumptions!B8)</f>
        <v>6042484331.269307</v>
      </c>
      <c r="E9" s="18">
        <f>E8*(1-Assumptions!B8)</f>
        <v>7175283235.284329</v>
      </c>
      <c r="F9" s="18">
        <f>F8*(1-Assumptions!B8)</f>
        <v>8520450643.144206</v>
      </c>
    </row>
    <row r="10" spans="1:6" x14ac:dyDescent="0.25">
      <c r="A10" t="s">
        <v>46</v>
      </c>
      <c r="B10" s="18">
        <f>B6*Assumptions!B9</f>
        <v>6497187930.822512</v>
      </c>
      <c r="C10" s="18">
        <f>C6*Assumptions!B9</f>
        <v>7715231199.7355995</v>
      </c>
      <c r="D10" s="18">
        <f>D6*Assumptions!B9</f>
        <v>9161623936.25546</v>
      </c>
      <c r="E10" s="18">
        <f>E6*Assumptions!B9</f>
        <v>10879175357.991278</v>
      </c>
      <c r="F10" s="18">
        <f>F6*Assumptions!B9</f>
        <v>12918720228.359348</v>
      </c>
    </row>
    <row r="11" spans="1:6" x14ac:dyDescent="0.25">
      <c r="A11" t="s">
        <v>47</v>
      </c>
      <c r="B11" s="18">
        <f>-B6*Assumptions!B10</f>
        <v>-5789850814.808838</v>
      </c>
      <c r="C11" s="18">
        <f>-C6*Assumptions!B10</f>
        <v>-6875287912.839044</v>
      </c>
      <c r="D11" s="18">
        <f>-D6*Assumptions!B10</f>
        <v>-8164214484.3401</v>
      </c>
      <c r="E11" s="18">
        <f>-E6*Assumptions!B10</f>
        <v>-9694779184.714142</v>
      </c>
      <c r="F11" s="18">
        <f>-F6*Assumptions!B10</f>
        <v>-11512282488.49265</v>
      </c>
    </row>
    <row r="12" spans="1:6" x14ac:dyDescent="0.25">
      <c r="A12" t="s">
        <v>48</v>
      </c>
      <c r="B12" s="18">
        <f>-(B6-Assumptions!B29)*Assumptions!B11</f>
        <v>3412939795.0109105</v>
      </c>
      <c r="C12" s="18">
        <f>-(C6-B6)*Assumptions!B11</f>
        <v>4052771732.886286</v>
      </c>
      <c r="D12" s="18">
        <f>-(D6-C6)*Assumptions!B11</f>
        <v>4812554485.400641</v>
      </c>
      <c r="E12" s="18">
        <f>-(E6-D6)*Assumptions!B11</f>
        <v>5714775516.965854</v>
      </c>
      <c r="F12" s="18">
        <f>-(F6-E6)*Assumptions!B11</f>
        <v>6786138070.412624</v>
      </c>
    </row>
    <row r="13" spans="1:6" x14ac:dyDescent="0.25">
      <c r="A13" s="19" t="s">
        <v>49</v>
      </c>
      <c r="B13" s="20">
        <f>B9+B10+B11+B12</f>
        <v>8405451301.772724</v>
      </c>
      <c r="C13" s="20">
        <f>C9+C10+C11+C12</f>
        <v>9981241241.868382</v>
      </c>
      <c r="D13" s="20">
        <f>D9+D10+D11+D12</f>
        <v>11852448268.58531</v>
      </c>
      <c r="E13" s="20">
        <f>E9+E10+E11+E12</f>
        <v>14074454925.52732</v>
      </c>
      <c r="F13" s="20">
        <f>F9+F10+F11+F12</f>
        <v>16713026453.42353</v>
      </c>
    </row>
    <row r="14" spans="1:6" x14ac:dyDescent="0.25">
      <c r="A14" t="s">
        <v>50</v>
      </c>
      <c r="B14" s="21">
        <f>1/(1+Assumptions!$B$26)^(1-0.5*Assumptions!$B$32)</f>
        <v>0.9715228117685439</v>
      </c>
      <c r="C14" s="21">
        <f>1/(1+Assumptions!$B$26)^(2-0.5*Assumptions!$B$32)</f>
        <v>0.9169781924714376</v>
      </c>
      <c r="D14" s="21">
        <f>1/(1+Assumptions!$B$26)^(3-0.5*Assumptions!$B$32)</f>
        <v>0.8654958949831735</v>
      </c>
      <c r="E14" s="21">
        <f>1/(1+Assumptions!$B$26)^(4-0.5*Assumptions!$B$32)</f>
        <v>0.8169039900652351</v>
      </c>
      <c r="F14" s="21">
        <f>1/(1+Assumptions!$B$26)^(5-0.5*Assumptions!$B$32)</f>
        <v>0.7710402011756226</v>
      </c>
    </row>
    <row r="15" spans="1:6" x14ac:dyDescent="0.25">
      <c r="A15" s="19" t="s">
        <v>51</v>
      </c>
      <c r="B15" s="20">
        <f>B13*B14</f>
        <v>8166087682.881804</v>
      </c>
      <c r="C15" s="20">
        <f>C13*C14</f>
        <v>9152580552.589836</v>
      </c>
      <c r="D15" s="20">
        <f>D13*D14</f>
        <v>10258245321.961008</v>
      </c>
      <c r="E15" s="20">
        <f>E13*E14</f>
        <v>11497478386.656569</v>
      </c>
      <c r="F15" s="20">
        <f>F13*F14</f>
        <v>12886415278.90118</v>
      </c>
    </row>
    <row r="17" spans="1:2" x14ac:dyDescent="0.25">
      <c r="A17" s="22" t="s">
        <v>52</v>
      </c>
      <c r="B17" s="23">
        <f>SUM(B15:F15)</f>
        <v>51960807222.9904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16713026453.42353</v>
      </c>
    </row>
    <row r="5" spans="1:2" x14ac:dyDescent="0.25">
      <c r="A5" t="s">
        <v>56</v>
      </c>
      <c r="B5" s="18">
        <f>IF(Assumptions!$B$33=0,B4,B4-Forecast!F11-Forecast!F10-Forecast!F12)</f>
        <v>9519699613.193132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0.3076841848901515</v>
      </c>
    </row>
    <row r="7" spans="1:2" x14ac:dyDescent="0.25">
      <c r="A7" t="s">
        <v>58</v>
      </c>
      <c r="B7" s="18">
        <f>-MAX(Forecast!F9,0)*B6</f>
        <v>-2929061015.8844194</v>
      </c>
    </row>
    <row r="8" spans="1:2" x14ac:dyDescent="0.25">
      <c r="A8" t="s">
        <v>59</v>
      </c>
      <c r="B8" s="18">
        <f>IF(OR(Assumptions!$B$33=0,Assumptions!B12&lt;=0),B5,MAX(B5+B7,0))</f>
        <v>6590638597.308713</v>
      </c>
    </row>
    <row r="9" spans="1:2" x14ac:dyDescent="0.25">
      <c r="A9" t="s">
        <v>60</v>
      </c>
      <c r="B9" s="18">
        <f>B8*(1+Assumptions!B12)/(Assumptions!B26-Assumptions!B12)</f>
        <v>195905327050.82208</v>
      </c>
    </row>
    <row r="10" spans="1:2" x14ac:dyDescent="0.25">
      <c r="A10" t="s">
        <v>61</v>
      </c>
      <c r="B10" s="18">
        <f>B9/(1+Assumptions!B26)^(5-0.5*Assumptions!B32)</f>
        <v>151050882780.642</v>
      </c>
    </row>
    <row r="11" spans="1:2" x14ac:dyDescent="0.25">
      <c r="A11" t="s">
        <v>62</v>
      </c>
      <c r="B11" s="18">
        <f>Forecast!B17+B10</f>
        <v>203011690003.6324</v>
      </c>
    </row>
    <row r="12" spans="1:2" x14ac:dyDescent="0.25">
      <c r="A12" t="s">
        <v>63</v>
      </c>
      <c r="B12" s="18">
        <f>-Assumptions!B30</f>
        <v>6816830000</v>
      </c>
    </row>
    <row r="13" spans="1:2" x14ac:dyDescent="0.25">
      <c r="A13" t="s">
        <v>64</v>
      </c>
      <c r="B13" s="18">
        <f>B11+B12</f>
        <v>209828520003.6324</v>
      </c>
    </row>
    <row r="14" spans="1:2" x14ac:dyDescent="0.25">
      <c r="A14" s="19" t="s">
        <v>65</v>
      </c>
      <c r="B14" s="24">
        <f>B13/Assumptions!B31</f>
        <v>93.33222132904383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22406378110.403305</v>
      </c>
    </row>
    <row r="18" spans="1:2" x14ac:dyDescent="0.25">
      <c r="A18" t="s">
        <v>60</v>
      </c>
      <c r="B18" s="18">
        <f>B17*Assumptions!B13</f>
        <v>106151121420.34406</v>
      </c>
    </row>
    <row r="19" spans="1:2" x14ac:dyDescent="0.25">
      <c r="A19" t="s">
        <v>61</v>
      </c>
      <c r="B19" s="18">
        <f>B18/(1+Assumptions!B26)^(5-0.5*Assumptions!B32)</f>
        <v>81846782014.96002</v>
      </c>
    </row>
    <row r="20" spans="1:2" x14ac:dyDescent="0.25">
      <c r="A20" t="s">
        <v>62</v>
      </c>
      <c r="B20" s="18">
        <f>Forecast!B17+B19</f>
        <v>133807589237.95042</v>
      </c>
    </row>
    <row r="21" spans="1:2" x14ac:dyDescent="0.25">
      <c r="A21" t="s">
        <v>63</v>
      </c>
      <c r="B21" s="18">
        <f>-Assumptions!B30</f>
        <v>6816830000.000015</v>
      </c>
    </row>
    <row r="22" spans="1:2" x14ac:dyDescent="0.25">
      <c r="A22" t="s">
        <v>64</v>
      </c>
      <c r="B22" s="18">
        <f>B20+B21</f>
        <v>140624419237.95044</v>
      </c>
    </row>
    <row r="23" spans="1:2" x14ac:dyDescent="0.25">
      <c r="A23" s="19" t="s">
        <v>65</v>
      </c>
      <c r="B23" s="25">
        <f>B22/Assumptions!B31</f>
        <v>62.55007384295249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23.78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109.27336473204453</v>
      </c>
    </row>
    <row r="29" spans="1:2" x14ac:dyDescent="0.25">
      <c r="A29" s="19" t="s">
        <v>73</v>
      </c>
      <c r="B29" s="12">
        <f>B28/B26-1</f>
        <v>3.59517934112887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0.039483</v>
      </c>
      <c r="B5" s="31">
        <v>147.63413275306723</v>
      </c>
      <c r="C5" s="31">
        <v>167.77809875212765</v>
      </c>
      <c r="D5" s="31">
        <v>201.67961861045762</v>
      </c>
      <c r="E5" s="31">
        <v>271.1000872335772</v>
      </c>
      <c r="F5" s="31">
        <v>494.88497227079347</v>
      </c>
    </row>
    <row r="6" spans="1:6" x14ac:dyDescent="0.25">
      <c r="A6" s="30">
        <v>0.049483</v>
      </c>
      <c r="B6" s="31">
        <v>108.52822723719986</v>
      </c>
      <c r="C6" s="31">
        <v>115.61396865677162</v>
      </c>
      <c r="D6" s="31">
        <v>125.5082186265515</v>
      </c>
      <c r="E6" s="31">
        <v>140.37325340035684</v>
      </c>
      <c r="F6" s="31">
        <v>165.35730000714437</v>
      </c>
    </row>
    <row r="7" spans="1:6" x14ac:dyDescent="0.25">
      <c r="A7" s="30">
        <v>0.059483</v>
      </c>
      <c r="B7" s="31">
        <v>86.88858021811761</v>
      </c>
      <c r="C7" s="31">
        <v>89.72784842288354</v>
      </c>
      <c r="D7" s="32">
        <v>93.33223501988869</v>
      </c>
      <c r="E7" s="31">
        <v>98.09100758311092</v>
      </c>
      <c r="F7" s="31">
        <v>104.71142378086108</v>
      </c>
    </row>
    <row r="8" spans="1:6" x14ac:dyDescent="0.25">
      <c r="A8" s="30">
        <v>0.069483</v>
      </c>
      <c r="B8" s="31">
        <v>73.10390970945319</v>
      </c>
      <c r="C8" s="31">
        <v>74.19567997220335</v>
      </c>
      <c r="D8" s="31">
        <v>75.48958951223403</v>
      </c>
      <c r="E8" s="31">
        <v>77.06243313133864</v>
      </c>
      <c r="F8" s="31">
        <v>79.03554630456593</v>
      </c>
    </row>
    <row r="9" spans="1:6" x14ac:dyDescent="0.25">
      <c r="A9" s="30">
        <v>0.079483</v>
      </c>
      <c r="B9" s="31">
        <v>63.524614161523864</v>
      </c>
      <c r="C9" s="31">
        <v>63.80126810003643</v>
      </c>
      <c r="D9" s="31">
        <v>64.09480056340519</v>
      </c>
      <c r="E9" s="31">
        <v>64.41032801330074</v>
      </c>
      <c r="F9" s="31">
        <v>64.75526732353778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179477404000</v>
      </c>
      <c r="C5" s="18">
        <v>177305549000</v>
      </c>
      <c r="D5" s="18">
        <v>129956992000</v>
      </c>
      <c r="E5" s="18">
        <v>107186288000</v>
      </c>
      <c r="F5" s="8" t="s">
        <v>84</v>
      </c>
    </row>
    <row r="6" spans="1:6" x14ac:dyDescent="0.25">
      <c r="A6" t="s">
        <v>44</v>
      </c>
      <c r="B6" s="18">
        <v>3673979000</v>
      </c>
      <c r="C6" s="18">
        <v>4460834000</v>
      </c>
      <c r="D6" s="18">
        <v>4073053000</v>
      </c>
      <c r="E6" s="18">
        <v>1348873000</v>
      </c>
      <c r="F6" s="8" t="s">
        <v>85</v>
      </c>
    </row>
    <row r="7" spans="1:6" x14ac:dyDescent="0.25">
      <c r="A7" t="s">
        <v>86</v>
      </c>
      <c r="B7" s="18">
        <v>6161426000</v>
      </c>
      <c r="C7" s="18">
        <v>6398377000</v>
      </c>
      <c r="D7" s="18">
        <v>3159502000</v>
      </c>
      <c r="E7" s="18">
        <v>2916884000</v>
      </c>
      <c r="F7" s="8" t="s">
        <v>87</v>
      </c>
    </row>
    <row r="8" spans="1:6" x14ac:dyDescent="0.25">
      <c r="A8" t="s">
        <v>88</v>
      </c>
      <c r="B8" s="18">
        <v>4088160000</v>
      </c>
      <c r="C8" s="18">
        <v>2855161000</v>
      </c>
      <c r="D8" s="18">
        <v>3918944000</v>
      </c>
      <c r="E8" s="18">
        <v>4247708000</v>
      </c>
      <c r="F8" s="8" t="s">
        <v>89</v>
      </c>
    </row>
    <row r="9" spans="1:6" x14ac:dyDescent="0.25">
      <c r="A9" t="s">
        <v>90</v>
      </c>
      <c r="B9" s="18">
        <v>-9185304000</v>
      </c>
      <c r="C9" s="18">
        <v>4884026000</v>
      </c>
      <c r="D9" s="18">
        <v>-2309713000</v>
      </c>
      <c r="E9" s="18">
        <v>-1141497000</v>
      </c>
      <c r="F9" s="8" t="s">
        <v>91</v>
      </c>
    </row>
    <row r="10" spans="1:6" x14ac:dyDescent="0.25">
      <c r="A10" t="s">
        <v>92</v>
      </c>
      <c r="B10" s="18">
        <v>8890531000</v>
      </c>
      <c r="C10" s="18">
        <v>12459505000</v>
      </c>
      <c r="D10" s="18">
        <v>16488928000</v>
      </c>
      <c r="E10" s="18">
        <v>2929227000</v>
      </c>
      <c r="F10" s="8" t="s">
        <v>93</v>
      </c>
    </row>
    <row r="11" spans="1:6" x14ac:dyDescent="0.25">
      <c r="A11" t="s">
        <v>94</v>
      </c>
      <c r="B11" s="18">
        <v>15707361000</v>
      </c>
      <c r="C11" s="18">
        <v>7052024000</v>
      </c>
      <c r="D11" s="18">
        <v>10537361000</v>
      </c>
      <c r="E11" s="18">
        <v>6243678000</v>
      </c>
      <c r="F11" s="8" t="s">
        <v>95</v>
      </c>
    </row>
    <row r="12" spans="1:6" x14ac:dyDescent="0.25">
      <c r="A12" t="s">
        <v>32</v>
      </c>
      <c r="B12" s="34">
        <v>2248189500</v>
      </c>
      <c r="C12" s="34">
        <v>2253204500</v>
      </c>
      <c r="D12" s="34">
        <v>2253204500</v>
      </c>
      <c r="E12" s="34">
        <v>2253204500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2026-09-19T00:09:42Z</dcterms:modified>
</cp:coreProperties>
</file>