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<sst xmlns="http://schemas.openxmlformats.org/spreadsheetml/2006/main" count="114" uniqueCount="102">
  <si>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WH Group Limited (0288.HK)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</si>
  <si>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</si>
  <si>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</si>
  <si>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</si>
  <si>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</si>
  <si>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</si>
  <si>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</si>
  <si>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</si>
  <si>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</si>
  <si>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</si>
  <si>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</si>
  <si>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</si>
  <si>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</si>
  <si>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</si>
  <si>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</si>
  <si>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</si>
  <si>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</si>
  <si>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</si>
  <si>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</si>
  <si>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</si>
  <si>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</si>
  <si>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</si>
  <si>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</si>
  <si>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</si>
  <si>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</si>
  <si>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</si>
  <si>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</si>
  <si>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</si>
  <si>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</si>
  <si>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</si>
  <si>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</si>
  <si>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</si>
  <si>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</si>
  <si>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</si>
  <si>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</si>
  <si>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</si>
  <si>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</si>
  <si>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</si>
  <si>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</si>
  <si>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</si>
  <si>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</si>
  <si>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</si>
  <si>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</si>
  <si>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</si>
  <si>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</si>
  <si>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</si>
  <si>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</si>
  <si>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</si>
  <si>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</si>
  <si>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</si>
  <si>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</si>
  <si>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</si>
  <si>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</si>
  <si>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</si>
  <si>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</si>
  <si>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</si>
  <si>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</si>
  <si>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</si>
  <si>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</si>
  <si>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</si>
  <si>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</si>
  <si>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</si>
  <si>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</si>
  <si>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</si>
  <si>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</si>
  <si>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</si>
  <si>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</si>
  <si>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</si>
  <si>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</si>
  <si>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</si>
  <si>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USD to HKD</t>
  </si>
  <si>
    <t>USD/HKD at 7.8441</t>
  </si>
  <si>
    <t>Value per share (HKD)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</si>
  <si>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</si>
  <si>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</si>
  <si>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</si>
  <si>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</si>
  <si>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</si>
  <si>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</si>
  <si>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</si>
  <si>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</si>
  <si>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</si>
  <si>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</si>
  <si>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</si>
  <si>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</si>
  <si>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</si>
  <si>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</si>
  <si>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</si>
  <si>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</si>
  <si>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</si>
  <si>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</si>
  <si>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</si>
  <si>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</si>
  <si>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</si>
  <si>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</si>
  <si>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</si>
  <si>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</si>
  <si>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</si>
  <si>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HKD. Modelled in USD, converted at the end.</t>
  </si>
  <si>
    <t>Note: Risk-free rate is an assumption: HKD assumption - no free live source available for this market.</t>
  </si>
  <si>
    <t>Current EV/EBITDA of 28.1x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</si>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</sst>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-0.0013048960230386264</v>
      </c>
    </row>
    <row r="7" spans="1:2" x14ac:dyDescent="0.25">
      <c r="A7" t="s">
        <v>5</v>
      </c>
      <c r="B7" s="6">
        <v>0.0853954513828771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0.02801980274416912</v>
      </c>
    </row>
    <row r="10" spans="1:2" x14ac:dyDescent="0.25">
      <c r="A10" t="s">
        <v>8</v>
      </c>
      <c r="B10" s="6">
        <v>0.02868234373597076</v>
      </c>
    </row>
    <row r="11" spans="1:2" x14ac:dyDescent="0.25">
      <c r="A11" t="s">
        <v>9</v>
      </c>
      <c r="B11" s="6">
        <v>-0.08263157894736842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0.14389041766658117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0.48075</v>
      </c>
      <c r="C19" s="8" t="s">
        <v>19</v>
      </c>
    </row>
    <row r="20" spans="1:2" x14ac:dyDescent="0.25">
      <c r="A20" t="s">
        <v>20</v>
      </c>
      <c r="B20" s="10">
        <f>B17+B19*B18</f>
        <v>0.0656525</v>
      </c>
    </row>
    <row r="21" spans="1:3" x14ac:dyDescent="0.25">
      <c r="A21" t="s">
        <v>21</v>
      </c>
      <c r="B21" s="6">
        <v>0.03644704982795973</v>
      </c>
      <c r="C21" s="8" t="s">
        <v>22</v>
      </c>
    </row>
    <row r="22" spans="1:2" x14ac:dyDescent="0.25">
      <c r="A22" t="s">
        <v>23</v>
      </c>
      <c r="B22" s="11">
        <v>84743602176</v>
      </c>
    </row>
    <row r="23" spans="1:2" x14ac:dyDescent="0.25">
      <c r="A23" t="s">
        <v>24</v>
      </c>
      <c r="B23" s="11">
        <v>4123000000</v>
      </c>
    </row>
    <row r="24" spans="1:2" x14ac:dyDescent="0.25">
      <c r="A24" t="s">
        <v>25</v>
      </c>
      <c r="B24" s="10">
        <f>B22/(B22+B23)</f>
        <v>0.9536046174935955</v>
      </c>
    </row>
    <row r="25" spans="1:2" x14ac:dyDescent="0.25">
      <c r="A25" t="s">
        <v>26</v>
      </c>
      <c r="B25" s="10">
        <f>1-B24</f>
        <v>0.046395382506404514</v>
      </c>
    </row>
    <row r="26" spans="1:2" x14ac:dyDescent="0.25">
      <c r="A26" t="s">
        <v>27</v>
      </c>
      <c r="B26" s="12">
        <f>B24*B20+B25*B21*(1-B8)</f>
        <v>0.06401849112302677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28026000000</v>
      </c>
      <c r="C29" s="8" t="s">
        <v>30</v>
      </c>
    </row>
    <row r="30" spans="1:2" x14ac:dyDescent="0.25">
      <c r="A30" t="s">
        <v>31</v>
      </c>
      <c r="B30" s="11">
        <v>530000000</v>
      </c>
    </row>
    <row r="31" spans="1:2" x14ac:dyDescent="0.25">
      <c r="A31" t="s">
        <v>32</v>
      </c>
      <c r="B31" s="13">
        <v>12830000000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-0.0013048960230386264</v>
      </c>
      <c r="C5" s="10">
        <f>Assumptions!B6</f>
        <v>-0.0013048960230386264</v>
      </c>
      <c r="D5" s="10">
        <f>Assumptions!B6</f>
        <v>-0.0013048960230386264</v>
      </c>
      <c r="E5" s="10">
        <f>Assumptions!B6</f>
        <v>-0.0013048960230386264</v>
      </c>
      <c r="F5" s="10">
        <f>Assumptions!B6</f>
        <v>-0.0013048960230386264</v>
      </c>
    </row>
    <row r="6" spans="1:6" x14ac:dyDescent="0.25">
      <c r="A6" t="s">
        <v>43</v>
      </c>
      <c r="B6" s="18">
        <f>Assumptions!B29*(1+B5)</f>
        <v>27989428984.05832</v>
      </c>
      <c r="C6" s="18">
        <f>B6*(1+C5)</f>
        <v>27952905689.4899</v>
      </c>
      <c r="D6" s="18">
        <f>C6*(1+D5)</f>
        <v>27916430054.023308</v>
      </c>
      <c r="E6" s="18">
        <f>D6*(1+E5)</f>
        <v>27880002015.468376</v>
      </c>
      <c r="F6" s="18">
        <f>E6*(1+F5)</f>
        <v>27843621511.716084</v>
      </c>
    </row>
    <row r="7" spans="1:6" x14ac:dyDescent="0.25">
      <c r="A7" t="s">
        <v>5</v>
      </c>
      <c r="B7" s="10">
        <f>Assumptions!B7</f>
        <v>0.0853954513828771</v>
      </c>
      <c r="C7" s="10">
        <f>Assumptions!B7</f>
        <v>0.0853954513828771</v>
      </c>
      <c r="D7" s="10">
        <f>Assumptions!B7</f>
        <v>0.0853954513828771</v>
      </c>
      <c r="E7" s="10">
        <f>Assumptions!B7</f>
        <v>0.0853954513828771</v>
      </c>
      <c r="F7" s="10">
        <f>Assumptions!B7</f>
        <v>0.0853954513828771</v>
      </c>
    </row>
    <row r="8" spans="1:6" x14ac:dyDescent="0.25">
      <c r="A8" t="s">
        <v>44</v>
      </c>
      <c r="B8" s="18">
        <f>B6*B7</f>
        <v>2390169922.0426435</v>
      </c>
      <c r="C8" s="18">
        <f>C6*C7</f>
        <v>2387050998.816983</v>
      </c>
      <c r="D8" s="18">
        <f>D6*D7</f>
        <v>2383936145.461837</v>
      </c>
      <c r="E8" s="18">
        <f>E6*E7</f>
        <v>2380825356.6664453</v>
      </c>
      <c r="F8" s="18">
        <f>F6*F7</f>
        <v>2377718627.1269817</v>
      </c>
    </row>
    <row r="9" spans="1:6" x14ac:dyDescent="0.25">
      <c r="A9" t="s">
        <v>45</v>
      </c>
      <c r="B9" s="18">
        <f>B8*(1-Assumptions!B8)</f>
        <v>1995791884.9056072</v>
      </c>
      <c r="C9" s="18">
        <f>C8*(1-Assumptions!B8)</f>
        <v>1993187584.0121808</v>
      </c>
      <c r="D9" s="18">
        <f>D8*(1-Assumptions!B8)</f>
        <v>1990586681.4606338</v>
      </c>
      <c r="E9" s="18">
        <f>E8*(1-Assumptions!B8)</f>
        <v>1987989172.8164816</v>
      </c>
      <c r="F9" s="18">
        <f>F8*(1-Assumptions!B8)</f>
        <v>1985395053.6510296</v>
      </c>
    </row>
    <row r="10" spans="1:6" x14ac:dyDescent="0.25">
      <c r="A10" t="s">
        <v>46</v>
      </c>
      <c r="B10" s="18">
        <f>B6*Assumptions!B9</f>
        <v>784258279.055244</v>
      </c>
      <c r="C10" s="18">
        <f>C6*Assumptions!B9</f>
        <v>783234903.5458696</v>
      </c>
      <c r="D10" s="18">
        <f>D6*Assumptions!B9</f>
        <v>782212863.4351275</v>
      </c>
      <c r="E10" s="18">
        <f>E6*Assumptions!B9</f>
        <v>781192156.9804614</v>
      </c>
      <c r="F10" s="18">
        <f>F6*Assumptions!B9</f>
        <v>780172782.4415886</v>
      </c>
    </row>
    <row r="11" spans="1:6" x14ac:dyDescent="0.25">
      <c r="A11" t="s">
        <v>47</v>
      </c>
      <c r="B11" s="18">
        <f>-B6*Assumptions!B10</f>
        <v>-802802423.0943035</v>
      </c>
      <c r="C11" s="18">
        <f>-C6*Assumptions!B10</f>
        <v>-801754849.405122</v>
      </c>
      <c r="D11" s="18">
        <f>-D6*Assumptions!B10</f>
        <v>-800708642.6906812</v>
      </c>
      <c r="E11" s="18">
        <f>-E6*Assumptions!B10</f>
        <v>-799663801.1672215</v>
      </c>
      <c r="F11" s="18">
        <f>-F6*Assumptions!B10</f>
        <v>-798620323.0533105</v>
      </c>
    </row>
    <row r="12" spans="1:6" x14ac:dyDescent="0.25">
      <c r="A12" t="s">
        <v>48</v>
      </c>
      <c r="B12" s="18">
        <f>-(B6-Assumptions!B29)*Assumptions!B11</f>
        <v>-3021920.790970475</v>
      </c>
      <c r="C12" s="18">
        <f>-(C6-B6)*Assumptions!B11</f>
        <v>-3017977.4985484234</v>
      </c>
      <c r="D12" s="18">
        <f>-(D6-C6)*Assumptions!B11</f>
        <v>-3014039.3517130357</v>
      </c>
      <c r="E12" s="18">
        <f>-(E6-D6)*Assumptions!B11</f>
        <v>-3010106.3437496144</v>
      </c>
      <c r="F12" s="18">
        <f>-(F6-E6)*Assumptions!B11</f>
        <v>-3006178.4679526016</v>
      </c>
    </row>
    <row r="13" spans="1:6" x14ac:dyDescent="0.25">
      <c r="A13" s="19" t="s">
        <v>49</v>
      </c>
      <c r="B13" s="20">
        <f>B9+B10+B11+B12</f>
        <v>1974225820.075577</v>
      </c>
      <c r="C13" s="20">
        <f>C9+C10+C11+C12</f>
        <v>1971649660.6543796</v>
      </c>
      <c r="D13" s="20">
        <f>D9+D10+D11+D12</f>
        <v>1969076862.8533673</v>
      </c>
      <c r="E13" s="20">
        <f>E9+E10+E11+E12</f>
        <v>1966507422.2859716</v>
      </c>
      <c r="F13" s="20">
        <f>F9+F10+F11+F12</f>
        <v>1963941334.571355</v>
      </c>
    </row>
    <row r="14" spans="1:6" x14ac:dyDescent="0.25">
      <c r="A14" t="s">
        <v>50</v>
      </c>
      <c r="B14" s="21">
        <f>1/(1+Assumptions!$B$26)^(1-0.5*Assumptions!$B$32)</f>
        <v>0.9694499939733068</v>
      </c>
      <c r="C14" s="21">
        <f>1/(1+Assumptions!$B$26)^(2-0.5*Assumptions!$B$32)</f>
        <v>0.9111213781163644</v>
      </c>
      <c r="D14" s="21">
        <f>1/(1+Assumptions!$B$26)^(3-0.5*Assumptions!$B$32)</f>
        <v>0.8563022031268593</v>
      </c>
      <c r="E14" s="21">
        <f>1/(1+Assumptions!$B$26)^(4-0.5*Assumptions!$B$32)</f>
        <v>0.8047813174967178</v>
      </c>
      <c r="F14" s="21">
        <f>1/(1+Assumptions!$B$26)^(5-0.5*Assumptions!$B$32)</f>
        <v>0.7563602740092468</v>
      </c>
    </row>
    <row r="15" spans="1:6" x14ac:dyDescent="0.25">
      <c r="A15" s="19" t="s">
        <v>51</v>
      </c>
      <c r="B15" s="20">
        <f>B13*B14</f>
        <v>1913913209.374215</v>
      </c>
      <c r="C15" s="20">
        <f>C13*C14</f>
        <v>1796412155.9780805</v>
      </c>
      <c r="D15" s="20">
        <f>D13*D14</f>
        <v>1686124855.7874632</v>
      </c>
      <c r="E15" s="20">
        <f>E13*E14</f>
        <v>1582608434.1743786</v>
      </c>
      <c r="F15" s="20">
        <f>F13*F14</f>
        <v>1485447205.9544759</v>
      </c>
    </row>
    <row r="17" spans="1:2" x14ac:dyDescent="0.25">
      <c r="A17" s="22" t="s">
        <v>52</v>
      </c>
      <c r="B17" s="23">
        <f>SUM(B15:F15)</f>
        <v>8464505861.268614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1963941334.571355</v>
      </c>
    </row>
    <row r="5" spans="1:2" x14ac:dyDescent="0.25">
      <c r="A5" t="s">
        <v>56</v>
      </c>
      <c r="B5" s="18">
        <f>IF(Assumptions!$B$33=0,B4,B4-Forecast!F11-Forecast!F10-Forecast!F12)</f>
        <v>1995042713.507755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0.1737433277727312</v>
      </c>
    </row>
    <row r="7" spans="1:2" x14ac:dyDescent="0.25">
      <c r="A7" t="s">
        <v>58</v>
      </c>
      <c r="B7" s="18">
        <f>-MAX(Forecast!F9,0)*B6</f>
        <v>-346625360.0935769</v>
      </c>
    </row>
    <row r="8" spans="1:2" x14ac:dyDescent="0.25">
      <c r="A8" t="s">
        <v>59</v>
      </c>
      <c r="B8" s="18">
        <f>IF(OR(Assumptions!$B$33=0,Assumptions!B12&lt;=0),B5,MAX(B5+B7,0))</f>
        <v>1648417353.4141781</v>
      </c>
    </row>
    <row r="9" spans="1:2" x14ac:dyDescent="0.25">
      <c r="A9" t="s">
        <v>60</v>
      </c>
      <c r="B9" s="18">
        <f>B8*(1+Assumptions!B12)/(Assumptions!B26-Assumptions!B12)</f>
        <v>43303257984.068954</v>
      </c>
    </row>
    <row r="10" spans="1:2" x14ac:dyDescent="0.25">
      <c r="A10" t="s">
        <v>61</v>
      </c>
      <c r="B10" s="18">
        <f>B9/(1+Assumptions!B26)^(5-0.5*Assumptions!B32)</f>
        <v>32752864074.323498</v>
      </c>
    </row>
    <row r="11" spans="1:2" x14ac:dyDescent="0.25">
      <c r="A11" t="s">
        <v>62</v>
      </c>
      <c r="B11" s="18">
        <f>Forecast!B17+B10</f>
        <v>41217369935.59211</v>
      </c>
    </row>
    <row r="12" spans="1:2" x14ac:dyDescent="0.25">
      <c r="A12" t="s">
        <v>63</v>
      </c>
      <c r="B12" s="18">
        <f>-Assumptions!B30</f>
        <v>-530000000</v>
      </c>
    </row>
    <row r="13" spans="1:2" x14ac:dyDescent="0.25">
      <c r="A13" t="s">
        <v>64</v>
      </c>
      <c r="B13" s="18">
        <f>B11+B12</f>
        <v>40687369935.59211</v>
      </c>
    </row>
    <row r="14" spans="1:2" x14ac:dyDescent="0.25">
      <c r="A14" s="19" t="s">
        <v>65</v>
      </c>
      <c r="B14" s="24">
        <f>B13/Assumptions!B31</f>
        <v>3.171268116569923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3157891409.56857</v>
      </c>
    </row>
    <row r="18" spans="1:2" x14ac:dyDescent="0.25">
      <c r="A18" t="s">
        <v>60</v>
      </c>
      <c r="B18" s="18">
        <f>B17*Assumptions!B13</f>
        <v>63157828191.3714</v>
      </c>
    </row>
    <row r="19" spans="1:2" x14ac:dyDescent="0.25">
      <c r="A19" t="s">
        <v>61</v>
      </c>
      <c r="B19" s="18">
        <f>B18/(1+Assumptions!B26)^(5-0.5*Assumptions!B32)</f>
        <v>47770072236.6546</v>
      </c>
    </row>
    <row r="20" spans="1:2" x14ac:dyDescent="0.25">
      <c r="A20" t="s">
        <v>62</v>
      </c>
      <c r="B20" s="18">
        <f>Forecast!B17+B19</f>
        <v>56234578097.92322</v>
      </c>
    </row>
    <row r="21" spans="1:2" x14ac:dyDescent="0.25">
      <c r="A21" t="s">
        <v>63</v>
      </c>
      <c r="B21" s="18">
        <f>-Assumptions!B30</f>
        <v>-530000000</v>
      </c>
    </row>
    <row r="22" spans="1:2" x14ac:dyDescent="0.25">
      <c r="A22" t="s">
        <v>64</v>
      </c>
      <c r="B22" s="18">
        <f>B20+B21</f>
        <v>55704578097.92322</v>
      </c>
    </row>
    <row r="23" spans="1:2" x14ac:dyDescent="0.25">
      <c r="A23" s="19" t="s">
        <v>65</v>
      </c>
      <c r="B23" s="25">
        <f>B22/Assumptions!B31</f>
        <v>4.341744200929323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6.605</v>
      </c>
    </row>
    <row r="27" spans="1:3" x14ac:dyDescent="0.25">
      <c r="A27" t="s">
        <v>70</v>
      </c>
      <c r="B27" s="27">
        <v>7.8441</v>
      </c>
      <c r="C27" s="8" t="s">
        <v>71</v>
      </c>
    </row>
    <row r="28" spans="1:2" x14ac:dyDescent="0.25">
      <c r="A28" t="s">
        <v>72</v>
      </c>
      <c r="B28" s="28">
        <f>B14*B27</f>
        <v>24.875744233186133</v>
      </c>
    </row>
    <row r="29" spans="1:2" x14ac:dyDescent="0.25">
      <c r="A29" s="19" t="s">
        <v>73</v>
      </c>
      <c r="B29" s="12">
        <f>B28/B26-1</f>
        <v>2.7661989755013066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0.044018</v>
      </c>
      <c r="B5" s="31">
        <v>4.662609091553684</v>
      </c>
      <c r="C5" s="31">
        <v>5.3329878241407505</v>
      </c>
      <c r="D5" s="31">
        <v>6.353523001240092</v>
      </c>
      <c r="E5" s="31">
        <v>8.098900502983263</v>
      </c>
      <c r="F5" s="31">
        <v>11.774779551998064</v>
      </c>
    </row>
    <row r="6" spans="1:6" x14ac:dyDescent="0.25">
      <c r="A6" s="30">
        <v>0.054018</v>
      </c>
      <c r="B6" s="31">
        <v>3.4930078590947575</v>
      </c>
      <c r="C6" s="31">
        <v>3.8016045775429825</v>
      </c>
      <c r="D6" s="31">
        <v>4.215078413789578</v>
      </c>
      <c r="E6" s="31">
        <v>4.798928442152787</v>
      </c>
      <c r="F6" s="31">
        <v>5.687534875154917</v>
      </c>
    </row>
    <row r="7" spans="1:6" x14ac:dyDescent="0.25">
      <c r="A7" s="30">
        <v>0.064018</v>
      </c>
      <c r="B7" s="31">
        <v>2.7999302680011087</v>
      </c>
      <c r="C7" s="31">
        <v>2.9649902202708582</v>
      </c>
      <c r="D7" s="32">
        <v>3.1713062746214726</v>
      </c>
      <c r="E7" s="31">
        <v>3.4370700217171013</v>
      </c>
      <c r="F7" s="31">
        <v>3.7930111945226335</v>
      </c>
    </row>
    <row r="8" spans="1:6" x14ac:dyDescent="0.25">
      <c r="A8" s="30">
        <v>0.074018</v>
      </c>
      <c r="B8" s="31">
        <v>2.341179978795198</v>
      </c>
      <c r="C8" s="31">
        <v>2.4373355802581376</v>
      </c>
      <c r="D8" s="31">
        <v>2.552308182706416</v>
      </c>
      <c r="E8" s="31">
        <v>2.6925100496408754</v>
      </c>
      <c r="F8" s="31">
        <v>2.8676402678238504</v>
      </c>
    </row>
    <row r="9" spans="1:6" x14ac:dyDescent="0.25">
      <c r="A9" s="30">
        <v>0.084018</v>
      </c>
      <c r="B9" s="31">
        <v>2.0149260498121446</v>
      </c>
      <c r="C9" s="31">
        <v>2.0738919429047513</v>
      </c>
      <c r="D9" s="31">
        <v>2.1422121895498916</v>
      </c>
      <c r="E9" s="31">
        <v>2.222484355434708</v>
      </c>
      <c r="F9" s="31">
        <v>2.3183658478094986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28026000000</v>
      </c>
      <c r="C5" s="18">
        <v>25941000000</v>
      </c>
      <c r="D5" s="18">
        <v>26236000000</v>
      </c>
      <c r="E5" s="18">
        <v>28136000000</v>
      </c>
      <c r="F5" s="8" t="s">
        <v>84</v>
      </c>
    </row>
    <row r="6" spans="1:6" x14ac:dyDescent="0.25">
      <c r="A6" t="s">
        <v>44</v>
      </c>
      <c r="B6" s="18">
        <v>2300000000</v>
      </c>
      <c r="C6" s="18">
        <v>2423000000</v>
      </c>
      <c r="D6" s="18">
        <v>2288000000</v>
      </c>
      <c r="E6" s="18">
        <v>2220000000</v>
      </c>
      <c r="F6" s="8" t="s">
        <v>85</v>
      </c>
    </row>
    <row r="7" spans="1:6" x14ac:dyDescent="0.25">
      <c r="A7" t="s">
        <v>86</v>
      </c>
      <c r="B7" s="18">
        <v>731000000</v>
      </c>
      <c r="C7" s="18">
        <v>723000000</v>
      </c>
      <c r="D7" s="18">
        <v>779000000</v>
      </c>
      <c r="E7" s="18">
        <v>800000000</v>
      </c>
      <c r="F7" s="8" t="s">
        <v>87</v>
      </c>
    </row>
    <row r="8" spans="1:6" x14ac:dyDescent="0.25">
      <c r="A8" t="s">
        <v>88</v>
      </c>
      <c r="B8" s="18">
        <v>611000000</v>
      </c>
      <c r="C8" s="18">
        <v>707000000</v>
      </c>
      <c r="D8" s="18">
        <v>812000000</v>
      </c>
      <c r="E8" s="18">
        <v>977000000</v>
      </c>
      <c r="F8" s="8" t="s">
        <v>89</v>
      </c>
    </row>
    <row r="9" spans="1:6" x14ac:dyDescent="0.25">
      <c r="A9" t="s">
        <v>90</v>
      </c>
      <c r="B9" s="18">
        <v>373000000</v>
      </c>
      <c r="C9" s="18">
        <v>265000000</v>
      </c>
      <c r="D9" s="18">
        <v>157000000</v>
      </c>
      <c r="E9" s="18">
        <v>665000000</v>
      </c>
      <c r="F9" s="8" t="s">
        <v>91</v>
      </c>
    </row>
    <row r="10" spans="1:6" x14ac:dyDescent="0.25">
      <c r="A10" t="s">
        <v>92</v>
      </c>
      <c r="B10" s="18">
        <v>4123000000</v>
      </c>
      <c r="C10" s="18">
        <v>3724000000</v>
      </c>
      <c r="D10" s="18">
        <v>3718000000</v>
      </c>
      <c r="E10" s="18">
        <v>3900000000</v>
      </c>
      <c r="F10" s="8" t="s">
        <v>93</v>
      </c>
    </row>
    <row r="11" spans="1:6" x14ac:dyDescent="0.25">
      <c r="A11" t="s">
        <v>94</v>
      </c>
      <c r="B11" s="18">
        <v>3593000000</v>
      </c>
      <c r="C11" s="18">
        <v>2589000000</v>
      </c>
      <c r="D11" s="18">
        <v>1711000000</v>
      </c>
      <c r="E11" s="18">
        <v>1825000000</v>
      </c>
      <c r="F11" s="8" t="s">
        <v>95</v>
      </c>
    </row>
    <row r="12" spans="1:6" x14ac:dyDescent="0.25">
      <c r="A12" t="s">
        <v>32</v>
      </c>
      <c r="B12" s="34">
        <v>12830000000</v>
      </c>
      <c r="C12" s="34">
        <v>12830000000</v>
      </c>
      <c r="D12" s="34">
        <v>12830000000</v>
      </c>
      <c r="E12" s="34">
        <v>12830000000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2026-09-19T00:09:37Z</dcterms:modified>
</cp:coreProperties>
</file>