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<sst xmlns="http://schemas.openxmlformats.org/spreadsheetml/2006/main" count="113" uniqueCount="101">
  <si>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China Resources Beer (Holdings) Company Limited (0291.HK)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</si>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</sst>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0.025095415399798204</v>
      </c>
    </row>
    <row r="7" spans="1:2" x14ac:dyDescent="0.25">
      <c r="A7" t="s">
        <v>5</v>
      </c>
      <c r="B7" s="6">
        <v>0.13975522541453006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0.056868826244956844</v>
      </c>
    </row>
    <row r="10" spans="1:2" x14ac:dyDescent="0.25">
      <c r="A10" t="s">
        <v>8</v>
      </c>
      <c r="B10" s="6">
        <v>0.05800046724836231</v>
      </c>
    </row>
    <row r="11" spans="1:2" x14ac:dyDescent="0.25">
      <c r="A11" t="s">
        <v>9</v>
      </c>
      <c r="B11" s="6">
        <v>0.3569023569023569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6.148318393822394</v>
      </c>
    </row>
    <row r="14" spans="1:3" x14ac:dyDescent="0.25">
      <c r="A14" t="s">
        <v>12</v>
      </c>
      <c r="B14" s="6">
        <v>0.13321717102262037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0.6120699999999999</v>
      </c>
      <c r="C19" s="8" t="s">
        <v>19</v>
      </c>
    </row>
    <row r="20" spans="1:2" x14ac:dyDescent="0.25">
      <c r="A20" t="s">
        <v>20</v>
      </c>
      <c r="B20" s="10">
        <f>B17+B19*B18</f>
        <v>0.07484489999999999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59105677312</v>
      </c>
    </row>
    <row r="23" spans="1:2" x14ac:dyDescent="0.25">
      <c r="A23" t="s">
        <v>24</v>
      </c>
      <c r="B23" s="11">
        <v>3404000000</v>
      </c>
    </row>
    <row r="24" spans="1:2" x14ac:dyDescent="0.25">
      <c r="A24" t="s">
        <v>25</v>
      </c>
      <c r="B24" s="10">
        <f>B22/(B22+B23)</f>
        <v>0.9455444317363876</v>
      </c>
    </row>
    <row r="25" spans="1:2" x14ac:dyDescent="0.25">
      <c r="A25" t="s">
        <v>26</v>
      </c>
      <c r="B25" s="10">
        <f>1-B24</f>
        <v>0.05445556826361242</v>
      </c>
    </row>
    <row r="26" spans="1:2" x14ac:dyDescent="0.25">
      <c r="A26" t="s">
        <v>27</v>
      </c>
      <c r="B26" s="12">
        <f>B24*B20+B25*B21*(1-B8)</f>
        <v>0.07222423122287047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37985000000</v>
      </c>
      <c r="C29" s="8" t="s">
        <v>30</v>
      </c>
    </row>
    <row r="30" spans="1:2" x14ac:dyDescent="0.25">
      <c r="A30" t="s">
        <v>31</v>
      </c>
      <c r="B30" s="11">
        <v>-6556000000</v>
      </c>
    </row>
    <row r="31" spans="1:2" x14ac:dyDescent="0.25">
      <c r="A31" t="s">
        <v>32</v>
      </c>
      <c r="B31" s="13">
        <v>3244176905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0.025095415399798204</v>
      </c>
      <c r="C5" s="10">
        <f>Assumptions!B6</f>
        <v>0.025095415399798204</v>
      </c>
      <c r="D5" s="10">
        <f>Assumptions!B6</f>
        <v>0.025095415399798204</v>
      </c>
      <c r="E5" s="10">
        <f>Assumptions!B6</f>
        <v>0.025095415399798204</v>
      </c>
      <c r="F5" s="10">
        <f>Assumptions!B6</f>
        <v>0.025095415399798204</v>
      </c>
    </row>
    <row r="6" spans="1:6" x14ac:dyDescent="0.25">
      <c r="A6" t="s">
        <v>43</v>
      </c>
      <c r="B6" s="18">
        <f>Assumptions!B29*(1+B5)</f>
        <v>38938249353.961334</v>
      </c>
      <c r="C6" s="18">
        <f>B6*(1+C5)</f>
        <v>39915420896.43992</v>
      </c>
      <c r="D6" s="18">
        <f>C6*(1+D5)</f>
        <v>40917114964.69386</v>
      </c>
      <c r="E6" s="18">
        <f>D6*(1+E5)</f>
        <v>41943946961.69415</v>
      </c>
      <c r="F6" s="18">
        <f>E6*(1+F5)</f>
        <v>42996547734.20497</v>
      </c>
    </row>
    <row r="7" spans="1:6" x14ac:dyDescent="0.25">
      <c r="A7" t="s">
        <v>5</v>
      </c>
      <c r="B7" s="10">
        <f>Assumptions!B7</f>
        <v>0.13975522541453006</v>
      </c>
      <c r="C7" s="10">
        <f>Assumptions!B7</f>
        <v>0.13975522541453006</v>
      </c>
      <c r="D7" s="10">
        <f>Assumptions!B7</f>
        <v>0.13975522541453006</v>
      </c>
      <c r="E7" s="10">
        <f>Assumptions!B7</f>
        <v>0.13975522541453006</v>
      </c>
      <c r="F7" s="10">
        <f>Assumptions!B7</f>
        <v>0.13975522541453006</v>
      </c>
    </row>
    <row r="8" spans="1:6" x14ac:dyDescent="0.25">
      <c r="A8" t="s">
        <v>44</v>
      </c>
      <c r="B8" s="18">
        <f>B6*B7</f>
        <v>5441823815.710046</v>
      </c>
      <c r="C8" s="18">
        <f>C6*C7</f>
        <v>5578388644.897804</v>
      </c>
      <c r="D8" s="18">
        <f>D6*D7</f>
        <v>5718380625.203032</v>
      </c>
      <c r="E8" s="18">
        <f>E6*E7</f>
        <v>5861885762.406659</v>
      </c>
      <c r="F8" s="18">
        <f>F6*F7</f>
        <v>6008992220.640417</v>
      </c>
    </row>
    <row r="9" spans="1:6" x14ac:dyDescent="0.25">
      <c r="A9" t="s">
        <v>45</v>
      </c>
      <c r="B9" s="18">
        <f>B8*(1-Assumptions!B8)</f>
        <v>4543922886.117888</v>
      </c>
      <c r="C9" s="18">
        <f>C8*(1-Assumptions!B8)</f>
        <v>4657954518.489666</v>
      </c>
      <c r="D9" s="18">
        <f>D8*(1-Assumptions!B8)</f>
        <v>4774847822.044531</v>
      </c>
      <c r="E9" s="18">
        <f>E8*(1-Assumptions!B8)</f>
        <v>4894674611.60956</v>
      </c>
      <c r="F9" s="18">
        <f>F8*(1-Assumptions!B8)</f>
        <v>5017508504.234748</v>
      </c>
    </row>
    <row r="10" spans="1:6" x14ac:dyDescent="0.25">
      <c r="A10" t="s">
        <v>46</v>
      </c>
      <c r="B10" s="18">
        <f>B6*Assumptions!B9</f>
        <v>2214372536.79323</v>
      </c>
      <c r="C10" s="18">
        <f>C6*Assumptions!B9</f>
        <v>2269943135.4539614</v>
      </c>
      <c r="D10" s="18">
        <f>D6*Assumptions!B9</f>
        <v>2326908301.372099</v>
      </c>
      <c r="E10" s="18">
        <f>E6*Assumptions!B9</f>
        <v>2385303031.79227</v>
      </c>
      <c r="F10" s="18">
        <f>F6*Assumptions!B9</f>
        <v>2445163202.2294955</v>
      </c>
    </row>
    <row r="11" spans="1:6" x14ac:dyDescent="0.25">
      <c r="A11" t="s">
        <v>47</v>
      </c>
      <c r="B11" s="18">
        <f>-B6*Assumptions!B10</f>
        <v>-2258436656.3629994</v>
      </c>
      <c r="C11" s="18">
        <f>-C6*Assumptions!B10</f>
        <v>-2315113062.4085603</v>
      </c>
      <c r="D11" s="18">
        <f>-D6*Assumptions!B10</f>
        <v>-2373211786.407202</v>
      </c>
      <c r="E11" s="18">
        <f>-E6*Assumptions!B10</f>
        <v>-2432768522.0187874</v>
      </c>
      <c r="F11" s="18">
        <f>-F6*Assumptions!B10</f>
        <v>-2493819858.650402</v>
      </c>
    </row>
    <row r="12" spans="1:6" x14ac:dyDescent="0.25">
      <c r="A12" t="s">
        <v>48</v>
      </c>
      <c r="B12" s="18">
        <f>-(B6-Assumptions!B29)*Assumptions!B11</f>
        <v>-340216941.14444923</v>
      </c>
      <c r="C12" s="18">
        <f>-(C6-B6)*Assumptions!B11</f>
        <v>-348754826.6085183</v>
      </c>
      <c r="D12" s="18">
        <f>-(D6-C6)*Assumptions!B11</f>
        <v>-357506973.8549431</v>
      </c>
      <c r="E12" s="18">
        <f>-(E6-D6)*Assumptions!B11</f>
        <v>-366478759.87215734</v>
      </c>
      <c r="F12" s="18">
        <f>-(F6-E6)*Assumptions!B11</f>
        <v>-375675696.5863527</v>
      </c>
    </row>
    <row r="13" spans="1:6" x14ac:dyDescent="0.25">
      <c r="A13" s="19" t="s">
        <v>49</v>
      </c>
      <c r="B13" s="20">
        <f>B9+B10+B11+B12</f>
        <v>4159641825.4036694</v>
      </c>
      <c r="C13" s="20">
        <f>C9+C10+C11+C12</f>
        <v>4264029764.9265485</v>
      </c>
      <c r="D13" s="20">
        <f>D9+D10+D11+D12</f>
        <v>4371037363.154485</v>
      </c>
      <c r="E13" s="20">
        <f>E9+E10+E11+E12</f>
        <v>4480730361.510886</v>
      </c>
      <c r="F13" s="20">
        <f>F9+F10+F11+F12</f>
        <v>4593176151.2274885</v>
      </c>
    </row>
    <row r="14" spans="1:6" x14ac:dyDescent="0.25">
      <c r="A14" t="s">
        <v>50</v>
      </c>
      <c r="B14" s="21">
        <f>1/(1+Assumptions!$B$26)^(1-0.5*Assumptions!$B$32)</f>
        <v>0.9657332652326557</v>
      </c>
      <c r="C14" s="21">
        <f>1/(1+Assumptions!$B$26)^(2-0.5*Assumptions!$B$32)</f>
        <v>0.9006821867206248</v>
      </c>
      <c r="D14" s="21">
        <f>1/(1+Assumptions!$B$26)^(3-0.5*Assumptions!$B$32)</f>
        <v>0.8400129007468874</v>
      </c>
      <c r="E14" s="21">
        <f>1/(1+Assumptions!$B$26)^(4-0.5*Assumptions!$B$32)</f>
        <v>0.7834302530067369</v>
      </c>
      <c r="F14" s="21">
        <f>1/(1+Assumptions!$B$26)^(5-0.5*Assumptions!$B$32)</f>
        <v>0.7306589705711423</v>
      </c>
    </row>
    <row r="15" spans="1:6" x14ac:dyDescent="0.25">
      <c r="A15" s="19" t="s">
        <v>51</v>
      </c>
      <c r="B15" s="20">
        <f>B13*B14</f>
        <v>4017104482.24541</v>
      </c>
      <c r="C15" s="20">
        <f>C13*C14</f>
        <v>3840535652.9158754</v>
      </c>
      <c r="D15" s="20">
        <f>D13*D14</f>
        <v>3671727774.6964245</v>
      </c>
      <c r="E15" s="20">
        <f>E13*E14</f>
        <v>3510339720.773441</v>
      </c>
      <c r="F15" s="20">
        <f>F13*F14</f>
        <v>3356045358.307798</v>
      </c>
    </row>
    <row r="17" spans="1:2" x14ac:dyDescent="0.25">
      <c r="A17" s="22" t="s">
        <v>52</v>
      </c>
      <c r="B17" s="23">
        <f>SUM(B15:F15)</f>
        <v>18395752988.93895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4593176151.2274885</v>
      </c>
    </row>
    <row r="5" spans="1:2" x14ac:dyDescent="0.25">
      <c r="A5" t="s">
        <v>56</v>
      </c>
      <c r="B5" s="18">
        <f>IF(Assumptions!$B$33=0,B4,B4-Forecast!F11-Forecast!F10-Forecast!F12)</f>
        <v>5537199061.252568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0.18766349568971843</v>
      </c>
    </row>
    <row r="7" spans="1:2" x14ac:dyDescent="0.25">
      <c r="A7" t="s">
        <v>58</v>
      </c>
      <c r="B7" s="18">
        <f>-MAX(Forecast!F9,0)*B6</f>
        <v>-1039130132.1644843</v>
      </c>
    </row>
    <row r="8" spans="1:2" x14ac:dyDescent="0.25">
      <c r="A8" t="s">
        <v>59</v>
      </c>
      <c r="B8" s="18">
        <f>IF(OR(Assumptions!$B$33=0,Assumptions!B12&lt;=0),B5,MAX(B5+B7,0))</f>
        <v>4498068929.088084</v>
      </c>
    </row>
    <row r="9" spans="1:2" x14ac:dyDescent="0.25">
      <c r="A9" t="s">
        <v>60</v>
      </c>
      <c r="B9" s="18">
        <f>B8*(1+Assumptions!B12)/(Assumptions!B26-Assumptions!B12)</f>
        <v>97630401447.01038</v>
      </c>
    </row>
    <row r="10" spans="1:2" x14ac:dyDescent="0.25">
      <c r="A10" t="s">
        <v>61</v>
      </c>
      <c r="B10" s="18">
        <f>B9/(1+Assumptions!B26)^(5-0.5*Assumptions!B32)</f>
        <v>71334528617.71996</v>
      </c>
    </row>
    <row r="11" spans="1:2" x14ac:dyDescent="0.25">
      <c r="A11" t="s">
        <v>62</v>
      </c>
      <c r="B11" s="18">
        <f>Forecast!B17+B10</f>
        <v>89730281606.6589</v>
      </c>
    </row>
    <row r="12" spans="1:2" x14ac:dyDescent="0.25">
      <c r="A12" t="s">
        <v>63</v>
      </c>
      <c r="B12" s="18">
        <f>-Assumptions!B30</f>
        <v>6556000000</v>
      </c>
    </row>
    <row r="13" spans="1:2" x14ac:dyDescent="0.25">
      <c r="A13" t="s">
        <v>64</v>
      </c>
      <c r="B13" s="18">
        <f>B11+B12</f>
        <v>96286281606.6589</v>
      </c>
    </row>
    <row r="14" spans="1:2" x14ac:dyDescent="0.25">
      <c r="A14" s="19" t="s">
        <v>65</v>
      </c>
      <c r="B14" s="24">
        <f>B13/Assumptions!B31</f>
        <v>29.67972599097795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8454155422.869913</v>
      </c>
    </row>
    <row r="18" spans="1:2" x14ac:dyDescent="0.25">
      <c r="A18" t="s">
        <v>60</v>
      </c>
      <c r="B18" s="18">
        <f>B17*Assumptions!B13</f>
        <v>51978839290.66443</v>
      </c>
    </row>
    <row r="19" spans="1:2" x14ac:dyDescent="0.25">
      <c r="A19" t="s">
        <v>61</v>
      </c>
      <c r="B19" s="18">
        <f>B18/(1+Assumptions!B26)^(5-0.5*Assumptions!B32)</f>
        <v>37978805207.59972</v>
      </c>
    </row>
    <row r="20" spans="1:2" x14ac:dyDescent="0.25">
      <c r="A20" t="s">
        <v>62</v>
      </c>
      <c r="B20" s="18">
        <f>Forecast!B17+B19</f>
        <v>56374558196.538666</v>
      </c>
    </row>
    <row r="21" spans="1:2" x14ac:dyDescent="0.25">
      <c r="A21" t="s">
        <v>63</v>
      </c>
      <c r="B21" s="18">
        <f>-Assumptions!B30</f>
        <v>6556000000</v>
      </c>
    </row>
    <row r="22" spans="1:2" x14ac:dyDescent="0.25">
      <c r="A22" t="s">
        <v>64</v>
      </c>
      <c r="B22" s="18">
        <f>B20+B21</f>
        <v>62930558196.538666</v>
      </c>
    </row>
    <row r="23" spans="1:2" x14ac:dyDescent="0.25">
      <c r="A23" s="19" t="s">
        <v>65</v>
      </c>
      <c r="B23" s="25">
        <f>B22/Assumptions!B31</f>
        <v>19.398004498320866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18.22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34.74902319023698</v>
      </c>
    </row>
    <row r="29" spans="1:2" x14ac:dyDescent="0.25">
      <c r="A29" s="19" t="s">
        <v>73</v>
      </c>
      <c r="B29" s="12">
        <f>B28/B26-1</f>
        <v>0.907191173997639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0.052224</v>
      </c>
      <c r="B5" s="31">
        <v>40.80105797443578</v>
      </c>
      <c r="C5" s="31">
        <v>44.47162069694614</v>
      </c>
      <c r="D5" s="31">
        <v>49.471751782020974</v>
      </c>
      <c r="E5" s="31">
        <v>56.69883808344301</v>
      </c>
      <c r="F5" s="31">
        <v>68.09228556064137</v>
      </c>
    </row>
    <row r="6" spans="1:6" x14ac:dyDescent="0.25">
      <c r="A6" s="30">
        <v>0.062224</v>
      </c>
      <c r="B6" s="31">
        <v>32.631840135466554</v>
      </c>
      <c r="C6" s="31">
        <v>34.527095538348064</v>
      </c>
      <c r="D6" s="31">
        <v>36.91838376335375</v>
      </c>
      <c r="E6" s="31">
        <v>40.03660390221224</v>
      </c>
      <c r="F6" s="31">
        <v>44.282284117860335</v>
      </c>
    </row>
    <row r="7" spans="1:6" x14ac:dyDescent="0.25">
      <c r="A7" s="30">
        <v>0.072224</v>
      </c>
      <c r="B7" s="31">
        <v>27.320732352774524</v>
      </c>
      <c r="C7" s="31">
        <v>28.391843493046963</v>
      </c>
      <c r="D7" s="32">
        <v>29.679857938454425</v>
      </c>
      <c r="E7" s="31">
        <v>31.26183019773661</v>
      </c>
      <c r="F7" s="31">
        <v>33.256215224904935</v>
      </c>
    </row>
    <row r="8" spans="1:6" x14ac:dyDescent="0.25">
      <c r="A8" s="30">
        <v>0.082224</v>
      </c>
      <c r="B8" s="31">
        <v>23.59208724034708</v>
      </c>
      <c r="C8" s="31">
        <v>24.229242820410942</v>
      </c>
      <c r="D8" s="31">
        <v>24.96989757213188</v>
      </c>
      <c r="E8" s="31">
        <v>25.843778968986765</v>
      </c>
      <c r="F8" s="31">
        <v>26.89320446983146</v>
      </c>
    </row>
    <row r="9" spans="1:6" x14ac:dyDescent="0.25">
      <c r="A9" s="30">
        <v>0.092224</v>
      </c>
      <c r="B9" s="31">
        <v>20.8310186651523</v>
      </c>
      <c r="C9" s="31">
        <v>21.219856273056866</v>
      </c>
      <c r="D9" s="31">
        <v>21.66012876152206</v>
      </c>
      <c r="E9" s="31">
        <v>22.1642352564223</v>
      </c>
      <c r="F9" s="31">
        <v>22.74890842406062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37985000000</v>
      </c>
      <c r="C5" s="18">
        <v>38635000000</v>
      </c>
      <c r="D5" s="18">
        <v>38932000000</v>
      </c>
      <c r="E5" s="18">
        <v>35263000000</v>
      </c>
      <c r="F5" s="8" t="s">
        <v>84</v>
      </c>
    </row>
    <row r="6" spans="1:6" x14ac:dyDescent="0.25">
      <c r="A6" t="s">
        <v>44</v>
      </c>
      <c r="B6" s="18">
        <v>6121000000</v>
      </c>
      <c r="C6" s="18">
        <v>5484000000</v>
      </c>
      <c r="D6" s="18">
        <v>5560000000</v>
      </c>
      <c r="E6" s="18">
        <v>3989000000</v>
      </c>
      <c r="F6" s="8" t="s">
        <v>85</v>
      </c>
    </row>
    <row r="7" spans="1:6" x14ac:dyDescent="0.25">
      <c r="A7" t="s">
        <v>86</v>
      </c>
      <c r="B7" s="18">
        <v>2426000000</v>
      </c>
      <c r="C7" s="18">
        <v>2350000000</v>
      </c>
      <c r="D7" s="18">
        <v>2277000000</v>
      </c>
      <c r="E7" s="18">
        <v>1562000000</v>
      </c>
      <c r="F7" s="8" t="s">
        <v>87</v>
      </c>
    </row>
    <row r="8" spans="1:6" x14ac:dyDescent="0.25">
      <c r="A8" t="s">
        <v>88</v>
      </c>
      <c r="B8" s="18">
        <v>1799000000</v>
      </c>
      <c r="C8" s="18">
        <v>2813000000</v>
      </c>
      <c r="D8" s="18">
        <v>2520000000</v>
      </c>
      <c r="E8" s="18">
        <v>1661000000</v>
      </c>
      <c r="F8" s="8" t="s">
        <v>89</v>
      </c>
    </row>
    <row r="9" spans="1:6" x14ac:dyDescent="0.25">
      <c r="A9" t="s">
        <v>90</v>
      </c>
      <c r="B9" s="18">
        <v>465000000</v>
      </c>
      <c r="C9" s="18">
        <v>-106000000</v>
      </c>
      <c r="D9" s="18">
        <v>3479000000</v>
      </c>
      <c r="E9" s="18">
        <v>-1447000000</v>
      </c>
      <c r="F9" s="8" t="s">
        <v>91</v>
      </c>
    </row>
    <row r="10" spans="1:6" x14ac:dyDescent="0.25">
      <c r="A10" t="s">
        <v>92</v>
      </c>
      <c r="B10" s="18">
        <v>3404000000</v>
      </c>
      <c r="C10" s="18">
        <v>2299000000</v>
      </c>
      <c r="D10" s="18">
        <v>5285000000</v>
      </c>
      <c r="E10" s="18">
        <v>1212000000</v>
      </c>
      <c r="F10" s="8" t="s">
        <v>93</v>
      </c>
    </row>
    <row r="11" spans="1:6" x14ac:dyDescent="0.25">
      <c r="A11" t="s">
        <v>94</v>
      </c>
      <c r="B11" s="18">
        <v>9960000000</v>
      </c>
      <c r="C11" s="18">
        <v>3816000000</v>
      </c>
      <c r="D11" s="18">
        <v>5520000000</v>
      </c>
      <c r="E11" s="18">
        <v>10428000000</v>
      </c>
      <c r="F11" s="8" t="s">
        <v>95</v>
      </c>
    </row>
    <row r="12" spans="1:6" x14ac:dyDescent="0.25">
      <c r="A12" t="s">
        <v>32</v>
      </c>
      <c r="B12" s="34">
        <v>3244176905</v>
      </c>
      <c r="C12" s="34">
        <v>3244176905</v>
      </c>
      <c r="D12" s="34">
        <v>3244176905</v>
      </c>
      <c r="E12" s="34">
        <v>3244176905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2026-09-19T00:09:45Z</dcterms:modified>
</cp:coreProperties>
</file>