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<sst xmlns="http://schemas.openxmlformats.org/spreadsheetml/2006/main" count="113" uniqueCount="101">
  <si>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Midea Group Co., Ltd. (0300.HK)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</si>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</sst>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0.09869488114674763</v>
      </c>
    </row>
    <row r="7" spans="1:2" x14ac:dyDescent="0.25">
      <c r="A7" t="s">
        <v>5</v>
      </c>
      <c r="B7" s="6">
        <v>0.09899944314610278</v>
      </c>
    </row>
    <row r="8" spans="1:2" x14ac:dyDescent="0.25">
      <c r="A8" t="s">
        <v>6</v>
      </c>
      <c r="B8" s="6">
        <v>0.16175915766548474</v>
      </c>
    </row>
    <row r="9" spans="1:2" x14ac:dyDescent="0.25">
      <c r="A9" t="s">
        <v>7</v>
      </c>
      <c r="B9" s="6">
        <v>0.019496225125741385</v>
      </c>
    </row>
    <row r="10" spans="1:2" x14ac:dyDescent="0.25">
      <c r="A10" t="s">
        <v>8</v>
      </c>
      <c r="B10" s="6">
        <v>0.020406717067262613</v>
      </c>
    </row>
    <row r="11" spans="1:2" x14ac:dyDescent="0.25">
      <c r="A11" t="s">
        <v>9</v>
      </c>
      <c r="B11" s="6">
        <v>-0.528917669475793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13.310671294443633</v>
      </c>
    </row>
    <row r="14" spans="1:3" x14ac:dyDescent="0.25">
      <c r="A14" t="s">
        <v>12</v>
      </c>
      <c r="B14" s="6">
        <v>0.136029817790068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0.64825</v>
      </c>
      <c r="C19" s="8" t="s">
        <v>19</v>
      </c>
    </row>
    <row r="20" spans="1:2" x14ac:dyDescent="0.25">
      <c r="A20" t="s">
        <v>20</v>
      </c>
      <c r="B20" s="10">
        <f>B17+B19*B18</f>
        <v>0.0773775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757594128384</v>
      </c>
    </row>
    <row r="23" spans="1:2" x14ac:dyDescent="0.25">
      <c r="A23" t="s">
        <v>24</v>
      </c>
      <c r="B23" s="11">
        <v>67480997000</v>
      </c>
    </row>
    <row r="24" spans="1:2" x14ac:dyDescent="0.25">
      <c r="A24" t="s">
        <v>25</v>
      </c>
      <c r="B24" s="10">
        <f>B22/(B22+B23)</f>
        <v>0.9182122997968294</v>
      </c>
    </row>
    <row r="25" spans="1:2" x14ac:dyDescent="0.25">
      <c r="A25" t="s">
        <v>26</v>
      </c>
      <c r="B25" s="10">
        <f>1-B24</f>
        <v>0.08178770020317061</v>
      </c>
    </row>
    <row r="26" spans="1:2" x14ac:dyDescent="0.25">
      <c r="A26" t="s">
        <v>27</v>
      </c>
      <c r="B26" s="12">
        <f>B24*B20+B25*B21*(1-B8)</f>
        <v>0.07324282153027824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458502407000</v>
      </c>
      <c r="C29" s="8" t="s">
        <v>30</v>
      </c>
    </row>
    <row r="30" spans="1:2" x14ac:dyDescent="0.25">
      <c r="A30" t="s">
        <v>31</v>
      </c>
      <c r="B30" s="11">
        <v>-18476870000</v>
      </c>
    </row>
    <row r="31" spans="1:2" x14ac:dyDescent="0.25">
      <c r="A31" t="s">
        <v>32</v>
      </c>
      <c r="B31" s="13">
        <v>7629411632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0.09869488114674763</v>
      </c>
      <c r="C5" s="10">
        <f>Assumptions!B6</f>
        <v>0.09869488114674763</v>
      </c>
      <c r="D5" s="10">
        <f>Assumptions!B6</f>
        <v>0.09869488114674763</v>
      </c>
      <c r="E5" s="10">
        <f>Assumptions!B6</f>
        <v>0.09869488114674763</v>
      </c>
      <c r="F5" s="10">
        <f>Assumptions!B6</f>
        <v>0.09869488114674763</v>
      </c>
    </row>
    <row r="6" spans="1:6" x14ac:dyDescent="0.25">
      <c r="A6" t="s">
        <v>43</v>
      </c>
      <c r="B6" s="18">
        <f>Assumptions!B29*(1+B5)</f>
        <v>503754247564.36273</v>
      </c>
      <c r="C6" s="18">
        <f>B6*(1+C5)</f>
        <v>553472213154.8969</v>
      </c>
      <c r="D6" s="18">
        <f>C6*(1+D5)</f>
        <v>608097087450.2467</v>
      </c>
      <c r="E6" s="18">
        <f>D6*(1+E5)</f>
        <v>668113157221.8322</v>
      </c>
      <c r="F6" s="18">
        <f>E6*(1+F5)</f>
        <v>734052505866.4192</v>
      </c>
    </row>
    <row r="7" spans="1:6" x14ac:dyDescent="0.25">
      <c r="A7" t="s">
        <v>5</v>
      </c>
      <c r="B7" s="10">
        <f>Assumptions!B7</f>
        <v>0.09899944314610278</v>
      </c>
      <c r="C7" s="10">
        <f>Assumptions!B7</f>
        <v>0.09899944314610278</v>
      </c>
      <c r="D7" s="10">
        <f>Assumptions!B7</f>
        <v>0.09899944314610278</v>
      </c>
      <c r="E7" s="10">
        <f>Assumptions!B7</f>
        <v>0.09899944314610278</v>
      </c>
      <c r="F7" s="10">
        <f>Assumptions!B7</f>
        <v>0.09899944314610278</v>
      </c>
    </row>
    <row r="8" spans="1:6" x14ac:dyDescent="0.25">
      <c r="A8" t="s">
        <v>44</v>
      </c>
      <c r="B8" s="18">
        <f>B6*B7</f>
        <v>49871389991.35591</v>
      </c>
      <c r="C8" s="18">
        <f>C6*C7</f>
        <v>54793440899.17589</v>
      </c>
      <c r="D8" s="18">
        <f>D6*D7</f>
        <v>60201273036.341385</v>
      </c>
      <c r="E8" s="18">
        <f>E6*E7</f>
        <v>66142830523.546</v>
      </c>
      <c r="F8" s="18">
        <f>F6*F7</f>
        <v>72670789320.77684</v>
      </c>
    </row>
    <row r="9" spans="1:6" x14ac:dyDescent="0.25">
      <c r="A9" t="s">
        <v>45</v>
      </c>
      <c r="B9" s="18">
        <f>B8*(1-Assumptions!B8)</f>
        <v>41804235954.74729</v>
      </c>
      <c r="C9" s="18">
        <f>C8*(1-Assumptions!B8)</f>
        <v>45930100053.731674</v>
      </c>
      <c r="D9" s="18">
        <f>D8*(1-Assumptions!B8)</f>
        <v>50463165819.59294</v>
      </c>
      <c r="E9" s="18">
        <f>E8*(1-Assumptions!B8)</f>
        <v>55443621972.44628</v>
      </c>
      <c r="F9" s="18">
        <f>F8*(1-Assumptions!B8)</f>
        <v>60915623653.362076</v>
      </c>
    </row>
    <row r="10" spans="1:6" x14ac:dyDescent="0.25">
      <c r="A10" t="s">
        <v>46</v>
      </c>
      <c r="B10" s="18">
        <f>B6*Assumptions!B9</f>
        <v>9821306218.563274</v>
      </c>
      <c r="C10" s="18">
        <f>C6*Assumptions!B9</f>
        <v>10790618868.510191</v>
      </c>
      <c r="D10" s="18">
        <f>D6*Assumptions!B9</f>
        <v>11855597715.237656</v>
      </c>
      <c r="E10" s="18">
        <f>E6*Assumptions!B9</f>
        <v>13025684522.666689</v>
      </c>
      <c r="F10" s="18">
        <f>F6*Assumptions!B9</f>
        <v>14311252908.486307</v>
      </c>
    </row>
    <row r="11" spans="1:6" x14ac:dyDescent="0.25">
      <c r="A11" t="s">
        <v>47</v>
      </c>
      <c r="B11" s="18">
        <f>-B6*Assumptions!B10</f>
        <v>-10279970401.477716</v>
      </c>
      <c r="C11" s="18">
        <f>-C6*Assumptions!B10</f>
        <v>-11294550858.443645</v>
      </c>
      <c r="D11" s="18">
        <f>-D6*Assumptions!B10</f>
        <v>-12409265213.023636</v>
      </c>
      <c r="E11" s="18">
        <f>-E6*Assumptions!B10</f>
        <v>-13633996168.341473</v>
      </c>
      <c r="F11" s="18">
        <f>-F6*Assumptions!B10</f>
        <v>-14979601799.731146</v>
      </c>
    </row>
    <row r="12" spans="1:6" x14ac:dyDescent="0.25">
      <c r="A12" t="s">
        <v>48</v>
      </c>
      <c r="B12" s="18">
        <f>-(B6-Assumptions!B29)*Assumptions!B11</f>
        <v>23934498050.79289</v>
      </c>
      <c r="C12" s="18">
        <f>-(C6-B6)*Assumptions!B11</f>
        <v>26296710491.222973</v>
      </c>
      <c r="D12" s="18">
        <f>-(D6-C6)*Assumptions!B11</f>
        <v>28892061207.704594</v>
      </c>
      <c r="E12" s="18">
        <f>-(E6-D6)*Assumptions!B11</f>
        <v>31743559754.683563</v>
      </c>
      <c r="F12" s="18">
        <f>-(F6-E6)*Assumptions!B11</f>
        <v>34876486611.84676</v>
      </c>
    </row>
    <row r="13" spans="1:6" x14ac:dyDescent="0.25">
      <c r="A13" s="19" t="s">
        <v>49</v>
      </c>
      <c r="B13" s="20">
        <f>B9+B10+B11+B12</f>
        <v>65280069822.62573</v>
      </c>
      <c r="C13" s="20">
        <f>C9+C10+C11+C12</f>
        <v>71722878555.0212</v>
      </c>
      <c r="D13" s="20">
        <f>D9+D10+D11+D12</f>
        <v>78801559529.51155</v>
      </c>
      <c r="E13" s="20">
        <f>E9+E10+E11+E12</f>
        <v>86578870081.45506</v>
      </c>
      <c r="F13" s="20">
        <f>F9+F10+F11+F12</f>
        <v>95123761373.964</v>
      </c>
    </row>
    <row r="14" spans="1:6" x14ac:dyDescent="0.25">
      <c r="A14" t="s">
        <v>50</v>
      </c>
      <c r="B14" s="21">
        <f>1/(1+Assumptions!$B$26)^(1-0.5*Assumptions!$B$32)</f>
        <v>0.9652748787271919</v>
      </c>
      <c r="C14" s="21">
        <f>1/(1+Assumptions!$B$26)^(2-0.5*Assumptions!$B$32)</f>
        <v>0.8994002655902783</v>
      </c>
      <c r="D14" s="21">
        <f>1/(1+Assumptions!$B$26)^(3-0.5*Assumptions!$B$32)</f>
        <v>0.8380212264619414</v>
      </c>
      <c r="E14" s="21">
        <f>1/(1+Assumptions!$B$26)^(4-0.5*Assumptions!$B$32)</f>
        <v>0.7808309635531061</v>
      </c>
      <c r="F14" s="21">
        <f>1/(1+Assumptions!$B$26)^(5-0.5*Assumptions!$B$32)</f>
        <v>0.7275436163083411</v>
      </c>
    </row>
    <row r="15" spans="1:6" x14ac:dyDescent="0.25">
      <c r="A15" s="19" t="s">
        <v>51</v>
      </c>
      <c r="B15" s="20">
        <f>B13*B14</f>
        <v>63013211481.33767</v>
      </c>
      <c r="C15" s="20">
        <f>C13*C14</f>
        <v>64507576021.28534</v>
      </c>
      <c r="D15" s="20">
        <f>D13*D14</f>
        <v>66037379564.03496</v>
      </c>
      <c r="E15" s="20">
        <f>E13*E14</f>
        <v>67603462549.04175</v>
      </c>
      <c r="F15" s="20">
        <f>F13*F14</f>
        <v>69206685346.86546</v>
      </c>
    </row>
    <row r="17" spans="1:2" x14ac:dyDescent="0.25">
      <c r="A17" s="22" t="s">
        <v>52</v>
      </c>
      <c r="B17" s="23">
        <f>SUM(B15:F15)</f>
        <v>330368314962.5652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95123761373.964</v>
      </c>
    </row>
    <row r="5" spans="1:2" x14ac:dyDescent="0.25">
      <c r="A5" t="s">
        <v>56</v>
      </c>
      <c r="B5" s="18">
        <f>IF(Assumptions!$B$33=0,B4,B4-Forecast!F11-Forecast!F10-Forecast!F12)</f>
        <v>60915623653.362076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0.18378323522113352</v>
      </c>
    </row>
    <row r="7" spans="1:2" x14ac:dyDescent="0.25">
      <c r="A7" t="s">
        <v>58</v>
      </c>
      <c r="B7" s="18">
        <f>-MAX(Forecast!F9,0)*B6</f>
        <v>-11195270390.527887</v>
      </c>
    </row>
    <row r="8" spans="1:2" x14ac:dyDescent="0.25">
      <c r="A8" t="s">
        <v>59</v>
      </c>
      <c r="B8" s="18">
        <f>IF(OR(Assumptions!$B$33=0,Assumptions!B12&lt;=0),B5,MAX(B5+B7,0))</f>
        <v>49720353262.83419</v>
      </c>
    </row>
    <row r="9" spans="1:2" x14ac:dyDescent="0.25">
      <c r="A9" t="s">
        <v>60</v>
      </c>
      <c r="B9" s="18">
        <f>B8*(1+Assumptions!B12)/(Assumptions!B26-Assumptions!B12)</f>
        <v>1056392650301.7517</v>
      </c>
    </row>
    <row r="10" spans="1:2" x14ac:dyDescent="0.25">
      <c r="A10" t="s">
        <v>61</v>
      </c>
      <c r="B10" s="18">
        <f>B9/(1+Assumptions!B26)^(5-0.5*Assumptions!B32)</f>
        <v>768571729042.0892</v>
      </c>
    </row>
    <row r="11" spans="1:2" x14ac:dyDescent="0.25">
      <c r="A11" t="s">
        <v>62</v>
      </c>
      <c r="B11" s="18">
        <f>Forecast!B17+B10</f>
        <v>1098940044004.6544</v>
      </c>
    </row>
    <row r="12" spans="1:2" x14ac:dyDescent="0.25">
      <c r="A12" t="s">
        <v>63</v>
      </c>
      <c r="B12" s="18">
        <f>-Assumptions!B30</f>
        <v>18476869999.999878</v>
      </c>
    </row>
    <row r="13" spans="1:2" x14ac:dyDescent="0.25">
      <c r="A13" t="s">
        <v>64</v>
      </c>
      <c r="B13" s="18">
        <f>B11+B12</f>
        <v>1117416914004.6543</v>
      </c>
    </row>
    <row r="14" spans="1:2" x14ac:dyDescent="0.25">
      <c r="A14" s="19" t="s">
        <v>65</v>
      </c>
      <c r="B14" s="24">
        <f>B13/Assumptions!B31</f>
        <v>146.46174146874952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86982042229.26315</v>
      </c>
    </row>
    <row r="18" spans="1:2" x14ac:dyDescent="0.25">
      <c r="A18" t="s">
        <v>60</v>
      </c>
      <c r="B18" s="18">
        <f>B17*Assumptions!B13</f>
        <v>1157789372633.137</v>
      </c>
    </row>
    <row r="19" spans="1:2" x14ac:dyDescent="0.25">
      <c r="A19" t="s">
        <v>61</v>
      </c>
      <c r="B19" s="18">
        <f>B18/(1+Assumptions!B26)^(5-0.5*Assumptions!B32)</f>
        <v>842342267088.8779</v>
      </c>
    </row>
    <row r="20" spans="1:2" x14ac:dyDescent="0.25">
      <c r="A20" t="s">
        <v>62</v>
      </c>
      <c r="B20" s="18">
        <f>Forecast!B17+B19</f>
        <v>1172710582051.443</v>
      </c>
    </row>
    <row r="21" spans="1:2" x14ac:dyDescent="0.25">
      <c r="A21" t="s">
        <v>63</v>
      </c>
      <c r="B21" s="18">
        <f>-Assumptions!B30</f>
        <v>18476870000</v>
      </c>
    </row>
    <row r="22" spans="1:2" x14ac:dyDescent="0.25">
      <c r="A22" t="s">
        <v>64</v>
      </c>
      <c r="B22" s="18">
        <f>B20+B21</f>
        <v>1191187452051.443</v>
      </c>
    </row>
    <row r="23" spans="1:2" x14ac:dyDescent="0.25">
      <c r="A23" s="19" t="s">
        <v>65</v>
      </c>
      <c r="B23" s="25">
        <f>B22/Assumptions!B31</f>
        <v>156.13097175872016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99.3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171.47740691161195</v>
      </c>
    </row>
    <row r="29" spans="1:2" x14ac:dyDescent="0.25">
      <c r="A29" s="19" t="s">
        <v>73</v>
      </c>
      <c r="B29" s="12">
        <f>B28/B26-1</f>
        <v>0.7268621038430207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0.053243</v>
      </c>
      <c r="B5" s="31">
        <v>197.1550475175577</v>
      </c>
      <c r="C5" s="31">
        <v>213.32537792256363</v>
      </c>
      <c r="D5" s="31">
        <v>235.13885971138035</v>
      </c>
      <c r="E5" s="31">
        <v>266.2373321800183</v>
      </c>
      <c r="F5" s="31">
        <v>314.2552227909186</v>
      </c>
    </row>
    <row r="6" spans="1:6" x14ac:dyDescent="0.25">
      <c r="A6" s="30">
        <v>0.063243</v>
      </c>
      <c r="B6" s="31">
        <v>160.19020786299816</v>
      </c>
      <c r="C6" s="31">
        <v>168.6744756395976</v>
      </c>
      <c r="D6" s="31">
        <v>179.3190248339882</v>
      </c>
      <c r="E6" s="31">
        <v>193.09862370616074</v>
      </c>
      <c r="F6" s="31">
        <v>211.6783129800724</v>
      </c>
    </row>
    <row r="7" spans="1:6" x14ac:dyDescent="0.25">
      <c r="A7" s="30">
        <v>0.073243</v>
      </c>
      <c r="B7" s="31">
        <v>135.79304395468853</v>
      </c>
      <c r="C7" s="31">
        <v>140.64628891666433</v>
      </c>
      <c r="D7" s="32">
        <v>146.46127507777933</v>
      </c>
      <c r="E7" s="31">
        <v>153.57160829301807</v>
      </c>
      <c r="F7" s="31">
        <v>162.48536077982814</v>
      </c>
    </row>
    <row r="8" spans="1:6" x14ac:dyDescent="0.25">
      <c r="A8" s="30">
        <v>0.083243</v>
      </c>
      <c r="B8" s="31">
        <v>118.4453438638495</v>
      </c>
      <c r="C8" s="31">
        <v>121.3633706380797</v>
      </c>
      <c r="D8" s="31">
        <v>124.74724525424065</v>
      </c>
      <c r="E8" s="31">
        <v>128.72820970900725</v>
      </c>
      <c r="F8" s="31">
        <v>133.49191472018484</v>
      </c>
    </row>
    <row r="9" spans="1:6" x14ac:dyDescent="0.25">
      <c r="A9" s="30">
        <v>0.093243</v>
      </c>
      <c r="B9" s="31">
        <v>105.44955734414897</v>
      </c>
      <c r="C9" s="31">
        <v>107.24989977103424</v>
      </c>
      <c r="D9" s="31">
        <v>109.28526247081845</v>
      </c>
      <c r="E9" s="31">
        <v>111.61138764569772</v>
      </c>
      <c r="F9" s="31">
        <v>114.30315875164824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458502407000</v>
      </c>
      <c r="C5" s="18">
        <v>409084266000</v>
      </c>
      <c r="D5" s="18">
        <v>373709804000</v>
      </c>
      <c r="E5" s="18">
        <v>345708706000</v>
      </c>
      <c r="F5" s="8" t="s">
        <v>84</v>
      </c>
    </row>
    <row r="6" spans="1:6" x14ac:dyDescent="0.25">
      <c r="A6" t="s">
        <v>44</v>
      </c>
      <c r="B6" s="18">
        <v>46188478000</v>
      </c>
      <c r="C6" s="18">
        <v>41122266000</v>
      </c>
      <c r="D6" s="18">
        <v>37553217000</v>
      </c>
      <c r="E6" s="18">
        <v>32582943000</v>
      </c>
      <c r="F6" s="8" t="s">
        <v>85</v>
      </c>
    </row>
    <row r="7" spans="1:6" x14ac:dyDescent="0.25">
      <c r="A7" t="s">
        <v>86</v>
      </c>
      <c r="B7" s="18">
        <v>9339695000</v>
      </c>
      <c r="C7" s="18">
        <v>7823840000</v>
      </c>
      <c r="D7" s="18">
        <v>7348921000</v>
      </c>
      <c r="E7" s="18">
        <v>6507920000</v>
      </c>
      <c r="F7" s="8" t="s">
        <v>87</v>
      </c>
    </row>
    <row r="8" spans="1:6" x14ac:dyDescent="0.25">
      <c r="A8" t="s">
        <v>88</v>
      </c>
      <c r="B8" s="18">
        <v>11141889000</v>
      </c>
      <c r="C8" s="18">
        <v>7839636000</v>
      </c>
      <c r="D8" s="18">
        <v>6314051000</v>
      </c>
      <c r="E8" s="18">
        <v>7352115000</v>
      </c>
      <c r="F8" s="8" t="s">
        <v>89</v>
      </c>
    </row>
    <row r="9" spans="1:6" x14ac:dyDescent="0.25">
      <c r="A9" t="s">
        <v>90</v>
      </c>
      <c r="B9" s="18">
        <v>-3889571000</v>
      </c>
      <c r="C9" s="18">
        <v>-18710178000</v>
      </c>
      <c r="D9" s="18">
        <v>-18218939000</v>
      </c>
      <c r="E9" s="18">
        <v>612380000</v>
      </c>
      <c r="F9" s="8" t="s">
        <v>91</v>
      </c>
    </row>
    <row r="10" spans="1:6" x14ac:dyDescent="0.25">
      <c r="A10" t="s">
        <v>92</v>
      </c>
      <c r="B10" s="18">
        <v>67480997000</v>
      </c>
      <c r="C10" s="18">
        <v>86255072000</v>
      </c>
      <c r="D10" s="18">
        <v>74680910000</v>
      </c>
      <c r="E10" s="18">
        <v>67767150000</v>
      </c>
      <c r="F10" s="8" t="s">
        <v>93</v>
      </c>
    </row>
    <row r="11" spans="1:6" x14ac:dyDescent="0.25">
      <c r="A11" t="s">
        <v>94</v>
      </c>
      <c r="B11" s="18">
        <v>85957867000</v>
      </c>
      <c r="C11" s="18">
        <v>147346421000</v>
      </c>
      <c r="D11" s="18">
        <v>83464434000</v>
      </c>
      <c r="E11" s="18">
        <v>58554692000</v>
      </c>
      <c r="F11" s="8" t="s">
        <v>95</v>
      </c>
    </row>
    <row r="12" spans="1:6" x14ac:dyDescent="0.25">
      <c r="A12" t="s">
        <v>32</v>
      </c>
      <c r="B12" s="34">
        <v>7629411632</v>
      </c>
      <c r="C12" s="34">
        <v>7110191328</v>
      </c>
      <c r="D12" s="34">
        <v>6853645325</v>
      </c>
      <c r="E12" s="34">
        <v>6825290300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2026-09-19T00:11:05Z</dcterms:modified>
</cp:coreProperties>
</file>