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<sst xmlns="http://schemas.openxmlformats.org/spreadsheetml/2006/main" count="115" uniqueCount="103">
  <si>
    <t>Orient Overseas (International) Limited (0316.HK)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</si>
  <si>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</si>
  <si>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</si>
  <si>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</si>
  <si>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</si>
  <si>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</si>
  <si>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</si>
  <si>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</si>
  <si>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</si>
  <si>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</si>
  <si>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</si>
  <si>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</si>
  <si>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</si>
  <si>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</si>
  <si>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</si>
  <si>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</si>
  <si>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HKD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</si>
  <si>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</si>
  <si>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</si>
  <si>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</si>
  <si>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</si>
  <si>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</si>
  <si>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</si>
  <si>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</si>
  <si>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</si>
  <si>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</si>
  <si>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</si>
  <si>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</si>
  <si>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</si>
  <si>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</si>
  <si>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</si>
  <si>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</si>
  <si>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</si>
  <si>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</si>
  <si>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</si>
  <si>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</si>
  <si>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</si>
  <si>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</si>
  <si>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</si>
  <si>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</si>
  <si>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</si>
  <si>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</si>
  <si>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</si>
  <si>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</si>
  <si>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</si>
  <si>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</si>
  <si>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</si>
  <si>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</si>
  <si>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</si>
  <si>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</si>
  <si>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</si>
  <si>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</si>
  <si>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</si>
  <si>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</si>
  <si>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</si>
  <si>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</si>
  <si>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</si>
  <si>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</si>
  <si>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</si>
  <si>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</si>
  <si>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</si>
  <si>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</si>
  <si>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</si>
  <si>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</si>
  <si>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</si>
  <si>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</si>
  <si>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</si>
  <si>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</si>
  <si>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</si>
  <si>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(HKD)</t>
  </si>
  <si>
    <t>Conversion, USD to HKD</t>
  </si>
  <si>
    <t>USD/HKD at 7.8441</t>
  </si>
  <si>
    <t>Value per share (HKD)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</si>
  <si>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</si>
  <si>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</si>
  <si>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</si>
  <si>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</si>
  <si>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</si>
  <si>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</si>
  <si>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</si>
  <si>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</si>
  <si>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</si>
  <si>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</si>
  <si>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</si>
  <si>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</si>
  <si>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</si>
  <si>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</si>
  <si>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</si>
  <si>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</si>
  <si>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</si>
  <si>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</si>
  <si>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</si>
  <si>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</si>
  <si>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</si>
  <si>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</si>
  <si>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</si>
  <si>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</si>
  <si>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</si>
  <si>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USD, trades in HKD. Modelled in USD, converted at the end.</t>
  </si>
  <si>
    <t>Adjusted: Capital expenditure runs at 12.9% of revenue against depreciation of 8.3%.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</si>
  <si>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HKD assumption - no free live source available for this market.</t>
  </si>
  <si>
    <t>Current EV/EBITDA of 42.5x sits outside a defensible 3-20x band, so the exit multiple is capped at 20.0x. A multiple that far out usually means EBITDA is the wrong denominator for this business.</t>
  </si>
  <si>
    <t>Data: Yahoo Finance. Risk-free rate: HKD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</si>
</sst>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-0.21133971492663717</v>
      </c>
    </row>
    <row r="7" spans="1:2" x14ac:dyDescent="0.25">
      <c r="A7" t="s">
        <v>5</v>
      </c>
      <c r="B7" s="6">
        <v>0.23188036725144467</v>
      </c>
    </row>
    <row r="8" spans="1:2" x14ac:dyDescent="0.25">
      <c r="A8" t="s">
        <v>6</v>
      </c>
      <c r="B8" s="6">
        <v>0.00903546319407668</v>
      </c>
    </row>
    <row r="9" spans="1:2" x14ac:dyDescent="0.25">
      <c r="A9" t="s">
        <v>7</v>
      </c>
      <c r="B9" s="6">
        <v>0.08286572152348641</v>
      </c>
    </row>
    <row r="10" spans="1:2" x14ac:dyDescent="0.25">
      <c r="A10" t="s">
        <v>8</v>
      </c>
      <c r="B10" s="6">
        <v>0.12915164571509113</v>
      </c>
    </row>
    <row r="11" spans="1:2" x14ac:dyDescent="0.25">
      <c r="A11" t="s">
        <v>9</v>
      </c>
      <c r="B11" s="6">
        <v>-0.09340746620152382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0.12708636487488106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0.07</v>
      </c>
    </row>
    <row r="19" spans="1:3" x14ac:dyDescent="0.25">
      <c r="A19" t="s">
        <v>18</v>
      </c>
      <c r="B19" s="9">
        <v>1.23785</v>
      </c>
      <c r="C19" s="8" t="s">
        <v>19</v>
      </c>
    </row>
    <row r="20" spans="1:2" x14ac:dyDescent="0.25">
      <c r="A20" t="s">
        <v>20</v>
      </c>
      <c r="B20" s="10">
        <f>B17+B19*B18</f>
        <v>0.1186495</v>
      </c>
    </row>
    <row r="21" spans="1:3" x14ac:dyDescent="0.25">
      <c r="A21" t="s">
        <v>21</v>
      </c>
      <c r="B21" s="6">
        <v>0.032</v>
      </c>
      <c r="C21" s="8" t="s">
        <v>22</v>
      </c>
    </row>
    <row r="22" spans="1:2" x14ac:dyDescent="0.25">
      <c r="A22" t="s">
        <v>23</v>
      </c>
      <c r="B22" s="11">
        <v>96612614144</v>
      </c>
    </row>
    <row r="23" spans="1:2" x14ac:dyDescent="0.25">
      <c r="A23" t="s">
        <v>24</v>
      </c>
      <c r="B23" s="11">
        <v>1279448000</v>
      </c>
    </row>
    <row r="24" spans="1:2" x14ac:dyDescent="0.25">
      <c r="A24" t="s">
        <v>25</v>
      </c>
      <c r="B24" s="10">
        <f>B22/(B22+B23)</f>
        <v>0.9869300127918653</v>
      </c>
    </row>
    <row r="25" spans="1:2" x14ac:dyDescent="0.25">
      <c r="A25" t="s">
        <v>26</v>
      </c>
      <c r="B25" s="10">
        <f>1-B24</f>
        <v>0.013069987208134681</v>
      </c>
    </row>
    <row r="26" spans="1:2" x14ac:dyDescent="0.25">
      <c r="A26" t="s">
        <v>27</v>
      </c>
      <c r="B26" s="12">
        <f>B24*B20+B25*B21*(1-B8)</f>
        <v>0.11751321315498102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9722494000</v>
      </c>
      <c r="C29" s="8" t="s">
        <v>30</v>
      </c>
    </row>
    <row r="30" spans="1:2" x14ac:dyDescent="0.25">
      <c r="A30" t="s">
        <v>31</v>
      </c>
      <c r="B30" s="11">
        <v>-5005714000</v>
      </c>
    </row>
    <row r="31" spans="1:2" x14ac:dyDescent="0.25">
      <c r="A31" t="s">
        <v>32</v>
      </c>
      <c r="B31" s="13">
        <v>660373000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-0.21133971492663717</v>
      </c>
      <c r="C5" s="10">
        <f>Assumptions!B6</f>
        <v>-0.21133971492663717</v>
      </c>
      <c r="D5" s="10">
        <f>Assumptions!B6</f>
        <v>-0.21133971492663717</v>
      </c>
      <c r="E5" s="10">
        <f>Assumptions!B6</f>
        <v>-0.21133971492663717</v>
      </c>
      <c r="F5" s="10">
        <f>Assumptions!B6</f>
        <v>-0.21133971492663717</v>
      </c>
    </row>
    <row r="6" spans="1:6" x14ac:dyDescent="0.25">
      <c r="A6" t="s">
        <v>43</v>
      </c>
      <c r="B6" s="18">
        <f>Assumptions!B29*(1+B5)</f>
        <v>7667744889.66406</v>
      </c>
      <c r="C6" s="18">
        <f>B6*(1+C5)</f>
        <v>6047245870.5522785</v>
      </c>
      <c r="D6" s="18">
        <f>C6*(1+D5)</f>
        <v>4769222652.178476</v>
      </c>
      <c r="E6" s="18">
        <f>D6*(1+E5)</f>
        <v>3761296496.445417</v>
      </c>
      <c r="F6" s="18">
        <f>E6*(1+F5)</f>
        <v>2966385167.1320834</v>
      </c>
    </row>
    <row r="7" spans="1:6" x14ac:dyDescent="0.25">
      <c r="A7" t="s">
        <v>5</v>
      </c>
      <c r="B7" s="10">
        <f>Assumptions!B7</f>
        <v>0.23188036725144467</v>
      </c>
      <c r="C7" s="10">
        <f>Assumptions!B7</f>
        <v>0.23188036725144467</v>
      </c>
      <c r="D7" s="10">
        <f>Assumptions!B7</f>
        <v>0.23188036725144467</v>
      </c>
      <c r="E7" s="10">
        <f>Assumptions!B7</f>
        <v>0.23188036725144467</v>
      </c>
      <c r="F7" s="10">
        <f>Assumptions!B7</f>
        <v>0.23188036725144467</v>
      </c>
    </row>
    <row r="8" spans="1:6" x14ac:dyDescent="0.25">
      <c r="A8" t="s">
        <v>44</v>
      </c>
      <c r="B8" s="18">
        <f>B6*B7</f>
        <v>1777999501.0056903</v>
      </c>
      <c r="C8" s="18">
        <f>C6*C7</f>
        <v>1402237593.3234446</v>
      </c>
      <c r="D8" s="18">
        <f>D6*D7</f>
        <v>1105889100.091054</v>
      </c>
      <c r="E8" s="18">
        <f>E6*E7</f>
        <v>872170812.9373355</v>
      </c>
      <c r="F8" s="18">
        <f>F6*F7</f>
        <v>687846481.9638256</v>
      </c>
    </row>
    <row r="9" spans="1:6" x14ac:dyDescent="0.25">
      <c r="A9" t="s">
        <v>45</v>
      </c>
      <c r="B9" s="18">
        <f>B8*(1-Assumptions!B8)</f>
        <v>1761934451.9552667</v>
      </c>
      <c r="C9" s="18">
        <f>C8*(1-Assumptions!B8)</f>
        <v>1389567727.15962</v>
      </c>
      <c r="D9" s="18">
        <f>D8*(1-Assumptions!B8)</f>
        <v>1095896879.8304508</v>
      </c>
      <c r="E9" s="18">
        <f>E8*(1-Assumptions!B8)</f>
        <v>864290345.6580923</v>
      </c>
      <c r="F9" s="18">
        <f>F8*(1-Assumptions!B8)</f>
        <v>681631470.3928664</v>
      </c>
    </row>
    <row r="10" spans="1:6" x14ac:dyDescent="0.25">
      <c r="A10" t="s">
        <v>46</v>
      </c>
      <c r="B10" s="18">
        <f>B6*Assumptions!B9</f>
        <v>635393212.740038</v>
      </c>
      <c r="C10" s="18">
        <f>C6*Assumptions!B9</f>
        <v>501109392.2932383</v>
      </c>
      <c r="D10" s="18">
        <f>D6*Assumptions!B9</f>
        <v>395205076.1789249</v>
      </c>
      <c r="E10" s="18">
        <f>E6*Assumptions!B9</f>
        <v>311682548.04171103</v>
      </c>
      <c r="F10" s="18">
        <f>F6*Assumptions!B9</f>
        <v>245811647.19096792</v>
      </c>
    </row>
    <row r="11" spans="1:6" x14ac:dyDescent="0.25">
      <c r="A11" t="s">
        <v>47</v>
      </c>
      <c r="B11" s="18">
        <f>-B6*Assumptions!B10</f>
        <v>-990301871.4235932</v>
      </c>
      <c r="C11" s="18">
        <f>-C6*Assumptions!B10</f>
        <v>-781011756.2256157</v>
      </c>
      <c r="D11" s="18">
        <f>-D6*Assumptions!B10</f>
        <v>-615952954.3105419</v>
      </c>
      <c r="E11" s="18">
        <f>-E6*Assumptions!B10</f>
        <v>-485777632.53833205</v>
      </c>
      <c r="F11" s="18">
        <f>-F6*Assumptions!B10</f>
        <v>-383113526.15994424</v>
      </c>
    </row>
    <row r="12" spans="1:6" x14ac:dyDescent="0.25">
      <c r="A12" t="s">
        <v>48</v>
      </c>
      <c r="B12" s="18">
        <f>-(B6-Assumptions!B29)*Assumptions!B11</f>
        <v>-191928908.0763155</v>
      </c>
      <c r="C12" s="18">
        <f>-(C6-B6)*Assumptions!B11</f>
        <v>-151366707.35728619</v>
      </c>
      <c r="D12" s="18">
        <f>-(D6-C6)*Assumptions!B11</f>
        <v>-119376910.57501362</v>
      </c>
      <c r="E12" s="18">
        <f>-(E6-D6)*Assumptions!B11</f>
        <v>-94147828.32526758</v>
      </c>
      <c r="F12" s="18">
        <f>-(F6-E6)*Assumptions!B11</f>
        <v>-74250653.12604357</v>
      </c>
    </row>
    <row r="13" spans="1:6" x14ac:dyDescent="0.25">
      <c r="A13" s="19" t="s">
        <v>49</v>
      </c>
      <c r="B13" s="20">
        <f>B9+B10+B11+B12</f>
        <v>1215096885.1953964</v>
      </c>
      <c r="C13" s="20">
        <f>C9+C10+C11+C12</f>
        <v>958298655.8699565</v>
      </c>
      <c r="D13" s="20">
        <f>D9+D10+D11+D12</f>
        <v>755772091.1238201</v>
      </c>
      <c r="E13" s="20">
        <f>E9+E10+E11+E12</f>
        <v>596047432.8362038</v>
      </c>
      <c r="F13" s="20">
        <f>F9+F10+F11+F12</f>
        <v>470078938.29784656</v>
      </c>
    </row>
    <row r="14" spans="1:6" x14ac:dyDescent="0.25">
      <c r="A14" t="s">
        <v>50</v>
      </c>
      <c r="B14" s="21">
        <f>1/(1+Assumptions!$B$26)^(1-0.5*Assumptions!$B$32)</f>
        <v>0.9459619472401473</v>
      </c>
      <c r="C14" s="21">
        <f>1/(1+Assumptions!$B$26)^(2-0.5*Assumptions!$B$32)</f>
        <v>0.8464883780384955</v>
      </c>
      <c r="D14" s="21">
        <f>1/(1+Assumptions!$B$26)^(3-0.5*Assumptions!$B$32)</f>
        <v>0.7574750509201372</v>
      </c>
      <c r="E14" s="21">
        <f>1/(1+Assumptions!$B$26)^(4-0.5*Assumptions!$B$32)</f>
        <v>0.6778220087274152</v>
      </c>
      <c r="F14" s="21">
        <f>1/(1+Assumptions!$B$26)^(5-0.5*Assumptions!$B$32)</f>
        <v>0.6065449613913534</v>
      </c>
    </row>
    <row r="15" spans="1:6" x14ac:dyDescent="0.25">
      <c r="A15" s="19" t="s">
        <v>51</v>
      </c>
      <c r="B15" s="20">
        <f>B13*B14</f>
        <v>1149435415.6048748</v>
      </c>
      <c r="C15" s="20">
        <f>C13*C14</f>
        <v>811188674.8838298</v>
      </c>
      <c r="D15" s="20">
        <f>D13*D14</f>
        <v>572478503.2080342</v>
      </c>
      <c r="E15" s="20">
        <f>E13*E14</f>
        <v>404014068.22185475</v>
      </c>
      <c r="F15" s="20">
        <f>F13*F14</f>
        <v>285124011.48075575</v>
      </c>
    </row>
    <row r="17" spans="1:2" x14ac:dyDescent="0.25">
      <c r="A17" s="22" t="s">
        <v>52</v>
      </c>
      <c r="B17" s="23">
        <f>SUM(B15:F15)</f>
        <v>3222240673.399349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470078938.29784656</v>
      </c>
    </row>
    <row r="5" spans="1:2" x14ac:dyDescent="0.25">
      <c r="A5" t="s">
        <v>56</v>
      </c>
      <c r="B5" s="18">
        <f>IF(Assumptions!$B$33=0,B4,B4-Forecast!F11-Forecast!F10-Forecast!F12)</f>
        <v>682812945.89863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0.19671661884902425</v>
      </c>
    </row>
    <row r="7" spans="1:2" x14ac:dyDescent="0.25">
      <c r="A7" t="s">
        <v>58</v>
      </c>
      <c r="B7" s="18">
        <f>-MAX(Forecast!F9,0)*B6</f>
        <v>-134320654.02352023</v>
      </c>
    </row>
    <row r="8" spans="1:2" x14ac:dyDescent="0.25">
      <c r="A8" t="s">
        <v>59</v>
      </c>
      <c r="B8" s="18">
        <f>IF(OR(Assumptions!$B$33=0,Assumptions!B12&lt;=0),B5,MAX(B5+B7,0))</f>
        <v>548492291.8751098</v>
      </c>
    </row>
    <row r="9" spans="1:2" x14ac:dyDescent="0.25">
      <c r="A9" t="s">
        <v>60</v>
      </c>
      <c r="B9" s="18">
        <f>B8*(1+Assumptions!B12)/(Assumptions!B26-Assumptions!B12)</f>
        <v>6077019487.261402</v>
      </c>
    </row>
    <row r="10" spans="1:2" x14ac:dyDescent="0.25">
      <c r="A10" t="s">
        <v>61</v>
      </c>
      <c r="B10" s="18">
        <f>B9/(1+Assumptions!B26)^(5-0.5*Assumptions!B32)</f>
        <v>3685985550.2754693</v>
      </c>
    </row>
    <row r="11" spans="1:2" x14ac:dyDescent="0.25">
      <c r="A11" t="s">
        <v>62</v>
      </c>
      <c r="B11" s="18">
        <f>Forecast!B17+B10</f>
        <v>6908226223.674818</v>
      </c>
    </row>
    <row r="12" spans="1:2" x14ac:dyDescent="0.25">
      <c r="A12" t="s">
        <v>63</v>
      </c>
      <c r="B12" s="18">
        <f>-Assumptions!B30</f>
        <v>5005714000</v>
      </c>
    </row>
    <row r="13" spans="1:2" x14ac:dyDescent="0.25">
      <c r="A13" t="s">
        <v>64</v>
      </c>
      <c r="B13" s="18">
        <f>B11+B12</f>
        <v>11913940223.674818</v>
      </c>
    </row>
    <row r="14" spans="1:2" x14ac:dyDescent="0.25">
      <c r="A14" s="19" t="s">
        <v>65</v>
      </c>
      <c r="B14" s="24">
        <f>B13/Assumptions!B31</f>
        <v>18.04122855367318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933658129.1547935</v>
      </c>
    </row>
    <row r="18" spans="1:2" x14ac:dyDescent="0.25">
      <c r="A18" t="s">
        <v>60</v>
      </c>
      <c r="B18" s="18">
        <f>B17*Assumptions!B13</f>
        <v>18673162583.09587</v>
      </c>
    </row>
    <row r="19" spans="1:2" x14ac:dyDescent="0.25">
      <c r="A19" t="s">
        <v>61</v>
      </c>
      <c r="B19" s="18">
        <f>B18/(1+Assumptions!B26)^(5-0.5*Assumptions!B32)</f>
        <v>11326112678.01835</v>
      </c>
    </row>
    <row r="20" spans="1:2" x14ac:dyDescent="0.25">
      <c r="A20" t="s">
        <v>62</v>
      </c>
      <c r="B20" s="18">
        <f>Forecast!B17+B19</f>
        <v>14548353351.4177</v>
      </c>
    </row>
    <row r="21" spans="1:2" x14ac:dyDescent="0.25">
      <c r="A21" t="s">
        <v>63</v>
      </c>
      <c r="B21" s="18">
        <f>-Assumptions!B30</f>
        <v>5005714000.000002</v>
      </c>
    </row>
    <row r="22" spans="1:2" x14ac:dyDescent="0.25">
      <c r="A22" t="s">
        <v>64</v>
      </c>
      <c r="B22" s="18">
        <f>B20+B21</f>
        <v>19554067351.4177</v>
      </c>
    </row>
    <row r="23" spans="1:2" x14ac:dyDescent="0.25">
      <c r="A23" s="19" t="s">
        <v>65</v>
      </c>
      <c r="B23" s="25">
        <f>B22/Assumptions!B31</f>
        <v>29.610640276658344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146.3</v>
      </c>
    </row>
    <row r="27" spans="1:3" x14ac:dyDescent="0.25">
      <c r="A27" t="s">
        <v>70</v>
      </c>
      <c r="B27" s="27">
        <v>7.8441</v>
      </c>
      <c r="C27" s="8" t="s">
        <v>71</v>
      </c>
    </row>
    <row r="28" spans="1:2" x14ac:dyDescent="0.25">
      <c r="A28" t="s">
        <v>72</v>
      </c>
      <c r="B28" s="28">
        <f>B14*B27</f>
        <v>141.51720089786778</v>
      </c>
    </row>
    <row r="29" spans="1:2" x14ac:dyDescent="0.25">
      <c r="A29" s="19" t="s">
        <v>73</v>
      </c>
      <c r="B29" s="12">
        <f>B28/B26-1</f>
        <v>-0.032691723186139665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0.097513</v>
      </c>
      <c r="B5" s="31">
        <v>20.0057517298782</v>
      </c>
      <c r="C5" s="31">
        <v>20.168331833470457</v>
      </c>
      <c r="D5" s="31">
        <v>20.349641928305655</v>
      </c>
      <c r="E5" s="31">
        <v>20.553843433201568</v>
      </c>
      <c r="F5" s="31">
        <v>20.786429144071207</v>
      </c>
    </row>
    <row r="6" spans="1:6" x14ac:dyDescent="0.25">
      <c r="A6" s="30">
        <v>0.107513</v>
      </c>
      <c r="B6" s="31">
        <v>18.86031684500055</v>
      </c>
      <c r="C6" s="31">
        <v>18.954804123993323</v>
      </c>
      <c r="D6" s="31">
        <v>19.057628797435623</v>
      </c>
      <c r="E6" s="31">
        <v>19.170404283937795</v>
      </c>
      <c r="F6" s="31">
        <v>19.295189003312807</v>
      </c>
    </row>
    <row r="7" spans="1:6" x14ac:dyDescent="0.25">
      <c r="A7" s="30">
        <v>0.117513</v>
      </c>
      <c r="B7" s="31">
        <v>17.936230224143873</v>
      </c>
      <c r="C7" s="31">
        <v>17.987311853133896</v>
      </c>
      <c r="D7" s="32">
        <v>18.04124791495258</v>
      </c>
      <c r="E7" s="31">
        <v>18.098527668252135</v>
      </c>
      <c r="F7" s="31">
        <v>18.159758961156033</v>
      </c>
    </row>
    <row r="8" spans="1:6" x14ac:dyDescent="0.25">
      <c r="A8" s="30">
        <v>0.127513</v>
      </c>
      <c r="B8" s="31">
        <v>17.176650668000665</v>
      </c>
      <c r="C8" s="31">
        <v>17.200276165820856</v>
      </c>
      <c r="D8" s="31">
        <v>17.223901663641044</v>
      </c>
      <c r="E8" s="31">
        <v>17.247527161461235</v>
      </c>
      <c r="F8" s="31">
        <v>17.271152659281427</v>
      </c>
    </row>
    <row r="9" spans="1:6" x14ac:dyDescent="0.25">
      <c r="A9" s="30">
        <v>0.137513</v>
      </c>
      <c r="B9" s="31">
        <v>16.578343169706997</v>
      </c>
      <c r="C9" s="31">
        <v>16.59939718949319</v>
      </c>
      <c r="D9" s="31">
        <v>16.62045120927938</v>
      </c>
      <c r="E9" s="31">
        <v>16.641505229065576</v>
      </c>
      <c r="F9" s="31">
        <v>16.66255924885177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9722494000</v>
      </c>
      <c r="C5" s="18">
        <v>10701943000</v>
      </c>
      <c r="D5" s="18">
        <v>8343857000</v>
      </c>
      <c r="E5" s="18">
        <v>19820188000</v>
      </c>
      <c r="F5" s="8" t="s">
        <v>84</v>
      </c>
    </row>
    <row r="6" spans="1:6" x14ac:dyDescent="0.25">
      <c r="A6" t="s">
        <v>44</v>
      </c>
      <c r="B6" s="18">
        <v>1160390000</v>
      </c>
      <c r="C6" s="18">
        <v>2251072000</v>
      </c>
      <c r="D6" s="18">
        <v>877294000</v>
      </c>
      <c r="E6" s="18">
        <v>9765120000</v>
      </c>
      <c r="F6" s="8" t="s">
        <v>85</v>
      </c>
    </row>
    <row r="7" spans="1:6" x14ac:dyDescent="0.25">
      <c r="A7" t="s">
        <v>86</v>
      </c>
      <c r="B7" s="18">
        <v>994131000</v>
      </c>
      <c r="C7" s="18">
        <v>900915000</v>
      </c>
      <c r="D7" s="18">
        <v>847657000</v>
      </c>
      <c r="E7" s="18">
        <v>860976000</v>
      </c>
      <c r="F7" s="8" t="s">
        <v>87</v>
      </c>
    </row>
    <row r="8" spans="1:6" x14ac:dyDescent="0.25">
      <c r="A8" t="s">
        <v>88</v>
      </c>
      <c r="B8" s="18">
        <v>2013399000</v>
      </c>
      <c r="C8" s="18">
        <v>1261524000</v>
      </c>
      <c r="D8" s="18">
        <v>1378086000</v>
      </c>
      <c r="E8" s="18">
        <v>524841000</v>
      </c>
      <c r="F8" s="8" t="s">
        <v>89</v>
      </c>
    </row>
    <row r="9" spans="1:6" x14ac:dyDescent="0.25">
      <c r="A9" t="s">
        <v>90</v>
      </c>
      <c r="B9" s="18">
        <v>97187000</v>
      </c>
      <c r="C9" s="18">
        <v>-147546000</v>
      </c>
      <c r="D9" s="18">
        <v>1071975000</v>
      </c>
      <c r="E9" s="18">
        <v>-570408000</v>
      </c>
      <c r="F9" s="8" t="s">
        <v>91</v>
      </c>
    </row>
    <row r="10" spans="1:6" x14ac:dyDescent="0.25">
      <c r="A10" t="s">
        <v>92</v>
      </c>
      <c r="B10" s="18">
        <v>1279448000</v>
      </c>
      <c r="C10" s="18">
        <v>1373223000</v>
      </c>
      <c r="D10" s="18">
        <v>1438238000</v>
      </c>
      <c r="E10" s="18">
        <v>2080120000</v>
      </c>
      <c r="F10" s="8" t="s">
        <v>93</v>
      </c>
    </row>
    <row r="11" spans="1:6" x14ac:dyDescent="0.25">
      <c r="A11" t="s">
        <v>94</v>
      </c>
      <c r="B11" s="18">
        <v>6285162000</v>
      </c>
      <c r="C11" s="18">
        <v>7917645000</v>
      </c>
      <c r="D11" s="18">
        <v>6735601000</v>
      </c>
      <c r="E11" s="18">
        <v>11262611000</v>
      </c>
      <c r="F11" s="8" t="s">
        <v>95</v>
      </c>
    </row>
    <row r="12" spans="1:6" x14ac:dyDescent="0.25">
      <c r="A12" t="s">
        <v>32</v>
      </c>
      <c r="B12" s="34">
        <v>660373000</v>
      </c>
      <c r="C12" s="34">
        <v>660373000</v>
      </c>
      <c r="D12" s="34">
        <v>660373000</v>
      </c>
      <c r="E12" s="34">
        <v>660373000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19" ht="38" customHeight="1" spans="1:6" x14ac:dyDescent="0.25">
      <c r="A19" s="35" t="s">
        <v>101</v>
      </c>
      <c r="B19" s="35"/>
      <c r="C19" s="35"/>
      <c r="D19" s="35"/>
      <c r="E19" s="35"/>
      <c r="F19" s="35"/>
    </row>
    <row r="21" spans="1:1" x14ac:dyDescent="0.25">
      <c r="A21" s="36" t="s">
        <v>102</v>
      </c>
    </row>
  </sheetData>
  <mergeCells count="4">
    <mergeCell ref="A16:F16"/>
    <mergeCell ref="A17:F17"/>
    <mergeCell ref="A18:F18"/>
    <mergeCell ref="A19:F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2026-09-19T00:09:47Z</dcterms:modified>
</cp:coreProperties>
</file>