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<sst xmlns="http://schemas.openxmlformats.org/spreadsheetml/2006/main" count="114" uniqueCount="102">
  <si>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Tingyi (Cayman Islands) Holding Corp. (0322.HK)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</si>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</sst>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0.0014824451185073695</v>
      </c>
    </row>
    <row r="7" spans="1:2" x14ac:dyDescent="0.25">
      <c r="A7" t="s">
        <v>5</v>
      </c>
      <c r="B7" s="6">
        <v>0.06332931751481717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0.04342541003089803</v>
      </c>
    </row>
    <row r="10" spans="1:2" x14ac:dyDescent="0.25">
      <c r="A10" t="s">
        <v>8</v>
      </c>
      <c r="B10" s="6">
        <v>0.04263974293912527</v>
      </c>
    </row>
    <row r="11" spans="1:2" x14ac:dyDescent="0.25">
      <c r="A11" t="s">
        <v>9</v>
      </c>
      <c r="B11" s="6">
        <v>0.1061304245646576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6.608561700637016</v>
      </c>
    </row>
    <row r="14" spans="1:3" x14ac:dyDescent="0.25">
      <c r="A14" t="s">
        <v>12</v>
      </c>
      <c r="B14" s="6">
        <v>0.15183574687156892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0.3903</v>
      </c>
      <c r="C19" s="8" t="s">
        <v>19</v>
      </c>
    </row>
    <row r="20" spans="1:2" x14ac:dyDescent="0.25">
      <c r="A20" t="s">
        <v>20</v>
      </c>
      <c r="B20" s="10">
        <f>B17+B19*B18</f>
        <v>0.059321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66070167552</v>
      </c>
    </row>
    <row r="23" spans="1:2" x14ac:dyDescent="0.25">
      <c r="A23" t="s">
        <v>24</v>
      </c>
      <c r="B23" s="11">
        <v>15234937000</v>
      </c>
    </row>
    <row r="24" spans="1:2" x14ac:dyDescent="0.25">
      <c r="A24" t="s">
        <v>25</v>
      </c>
      <c r="B24" s="10">
        <f>B22/(B22+B23)</f>
        <v>0.8126201659299724</v>
      </c>
    </row>
    <row r="25" spans="1:2" x14ac:dyDescent="0.25">
      <c r="A25" t="s">
        <v>26</v>
      </c>
      <c r="B25" s="10">
        <f>1-B24</f>
        <v>0.18737983407002756</v>
      </c>
    </row>
    <row r="26" spans="1:2" x14ac:dyDescent="0.25">
      <c r="A26" t="s">
        <v>27</v>
      </c>
      <c r="B26" s="12">
        <f>B24*B20+B25*B21*(1-B8)</f>
        <v>0.05321223002948303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79068022000</v>
      </c>
      <c r="C29" s="8" t="s">
        <v>30</v>
      </c>
    </row>
    <row r="30" spans="1:2" x14ac:dyDescent="0.25">
      <c r="A30" t="s">
        <v>31</v>
      </c>
      <c r="B30" s="11">
        <v>1618746000</v>
      </c>
    </row>
    <row r="31" spans="1:2" x14ac:dyDescent="0.25">
      <c r="A31" t="s">
        <v>32</v>
      </c>
      <c r="B31" s="13">
        <v>5637056000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0.0014824451185073695</v>
      </c>
      <c r="C5" s="10">
        <f>Assumptions!B6</f>
        <v>0.0014824451185073695</v>
      </c>
      <c r="D5" s="10">
        <f>Assumptions!B6</f>
        <v>0.0014824451185073695</v>
      </c>
      <c r="E5" s="10">
        <f>Assumptions!B6</f>
        <v>0.0014824451185073695</v>
      </c>
      <c r="F5" s="10">
        <f>Assumptions!B6</f>
        <v>0.0014824451185073695</v>
      </c>
    </row>
    <row r="6" spans="1:6" x14ac:dyDescent="0.25">
      <c r="A6" t="s">
        <v>43</v>
      </c>
      <c r="B6" s="18">
        <f>Assumptions!B29*(1+B5)</f>
        <v>79185236003.24393</v>
      </c>
      <c r="C6" s="18">
        <f>B6*(1+C5)</f>
        <v>79302623769.81479</v>
      </c>
      <c r="D6" s="18">
        <f>C6*(1+D5)</f>
        <v>79420185557.30717</v>
      </c>
      <c r="E6" s="18">
        <f>D6*(1+E5)</f>
        <v>79537921623.69756</v>
      </c>
      <c r="F6" s="18">
        <f>E6*(1+F5)</f>
        <v>79655832227.34483</v>
      </c>
    </row>
    <row r="7" spans="1:6" x14ac:dyDescent="0.25">
      <c r="A7" t="s">
        <v>5</v>
      </c>
      <c r="B7" s="10">
        <f>Assumptions!B7</f>
        <v>0.06332931751481717</v>
      </c>
      <c r="C7" s="10">
        <f>Assumptions!B7</f>
        <v>0.06332931751481717</v>
      </c>
      <c r="D7" s="10">
        <f>Assumptions!B7</f>
        <v>0.06332931751481717</v>
      </c>
      <c r="E7" s="10">
        <f>Assumptions!B7</f>
        <v>0.06332931751481717</v>
      </c>
      <c r="F7" s="10">
        <f>Assumptions!B7</f>
        <v>0.06332931751481717</v>
      </c>
    </row>
    <row r="8" spans="1:6" x14ac:dyDescent="0.25">
      <c r="A8" t="s">
        <v>44</v>
      </c>
      <c r="B8" s="18">
        <f>B6*B7</f>
        <v>5014746953.335167</v>
      </c>
      <c r="C8" s="18">
        <f>C6*C7</f>
        <v>5022181040.476688</v>
      </c>
      <c r="D8" s="18">
        <f>D6*D7</f>
        <v>5029626148.244403</v>
      </c>
      <c r="E8" s="18">
        <f>E6*E7</f>
        <v>5037082292.975785</v>
      </c>
      <c r="F8" s="18">
        <f>F6*F7</f>
        <v>5044549491.032527</v>
      </c>
    </row>
    <row r="9" spans="1:6" x14ac:dyDescent="0.25">
      <c r="A9" t="s">
        <v>45</v>
      </c>
      <c r="B9" s="18">
        <f>B8*(1-Assumptions!B8)</f>
        <v>4187313706.0348644</v>
      </c>
      <c r="C9" s="18">
        <f>C8*(1-Assumptions!B8)</f>
        <v>4193521168.7980347</v>
      </c>
      <c r="D9" s="18">
        <f>D8*(1-Assumptions!B8)</f>
        <v>4199737833.784076</v>
      </c>
      <c r="E9" s="18">
        <f>E8*(1-Assumptions!B8)</f>
        <v>4205963714.6347804</v>
      </c>
      <c r="F9" s="18">
        <f>F8*(1-Assumptions!B8)</f>
        <v>4212198825.01216</v>
      </c>
    </row>
    <row r="10" spans="1:6" x14ac:dyDescent="0.25">
      <c r="A10" t="s">
        <v>46</v>
      </c>
      <c r="B10" s="18">
        <f>B6*Assumptions!B9</f>
        <v>3438651341.8342967</v>
      </c>
      <c r="C10" s="18">
        <f>C6*Assumptions!B9</f>
        <v>3443748953.730248</v>
      </c>
      <c r="D10" s="18">
        <f>D6*Assumptions!B9</f>
        <v>3448854122.55607</v>
      </c>
      <c r="E10" s="18">
        <f>E6*Assumptions!B9</f>
        <v>3453966859.5144973</v>
      </c>
      <c r="F10" s="18">
        <f>F6*Assumptions!B9</f>
        <v>3459087175.824871</v>
      </c>
    </row>
    <row r="11" spans="1:6" x14ac:dyDescent="0.25">
      <c r="A11" t="s">
        <v>47</v>
      </c>
      <c r="B11" s="18">
        <f>-B6*Assumptions!B10</f>
        <v>-3376438107.7522883</v>
      </c>
      <c r="C11" s="18">
        <f>-C6*Assumptions!B10</f>
        <v>-3381443491.943068</v>
      </c>
      <c r="D11" s="18">
        <f>-D6*Assumptions!B10</f>
        <v>-3386456296.3412075</v>
      </c>
      <c r="E11" s="18">
        <f>-E6*Assumptions!B10</f>
        <v>-3391476531.9467573</v>
      </c>
      <c r="F11" s="18">
        <f>-F6*Assumptions!B10</f>
        <v>-3396504209.776074</v>
      </c>
    </row>
    <row r="12" spans="1:6" x14ac:dyDescent="0.25">
      <c r="A12" t="s">
        <v>48</v>
      </c>
      <c r="B12" s="18">
        <f>-(B6-Assumptions!B29)*Assumptions!B11</f>
        <v>-12439971.929201126</v>
      </c>
      <c r="C12" s="18">
        <f>-(C6-B6)*Assumptions!B11</f>
        <v>-12458413.504862485</v>
      </c>
      <c r="D12" s="18">
        <f>-(D6-C6)*Assumptions!B11</f>
        <v>-12476882.419146964</v>
      </c>
      <c r="E12" s="18">
        <f>-(E6-D6)*Assumptions!B11</f>
        <v>-12495378.712583834</v>
      </c>
      <c r="F12" s="18">
        <f>-(F6-E6)*Assumptions!B11</f>
        <v>-12513902.42576066</v>
      </c>
    </row>
    <row r="13" spans="1:6" x14ac:dyDescent="0.25">
      <c r="A13" s="19" t="s">
        <v>49</v>
      </c>
      <c r="B13" s="20">
        <f>B9+B10+B11+B12</f>
        <v>4237086968.187672</v>
      </c>
      <c r="C13" s="20">
        <f>C9+C10+C11+C12</f>
        <v>4243368217.080352</v>
      </c>
      <c r="D13" s="20">
        <f>D9+D10+D11+D12</f>
        <v>4249658777.5797915</v>
      </c>
      <c r="E13" s="20">
        <f>E9+E10+E11+E12</f>
        <v>4255958663.4899364</v>
      </c>
      <c r="F13" s="20">
        <f>F9+F10+F11+F12</f>
        <v>4262267888.6351957</v>
      </c>
    </row>
    <row r="14" spans="1:6" x14ac:dyDescent="0.25">
      <c r="A14" t="s">
        <v>50</v>
      </c>
      <c r="B14" s="21">
        <f>1/(1+Assumptions!$B$26)^(1-0.5*Assumptions!$B$32)</f>
        <v>0.9744107200292258</v>
      </c>
      <c r="C14" s="21">
        <f>1/(1+Assumptions!$B$26)^(2-0.5*Assumptions!$B$32)</f>
        <v>0.9251798376875557</v>
      </c>
      <c r="D14" s="21">
        <f>1/(1+Assumptions!$B$26)^(3-0.5*Assumptions!$B$32)</f>
        <v>0.878436284073208</v>
      </c>
      <c r="E14" s="21">
        <f>1/(1+Assumptions!$B$26)^(4-0.5*Assumptions!$B$32)</f>
        <v>0.8340543900146483</v>
      </c>
      <c r="F14" s="21">
        <f>1/(1+Assumptions!$B$26)^(5-0.5*Assumptions!$B$32)</f>
        <v>0.7919148356179838</v>
      </c>
    </row>
    <row r="15" spans="1:6" x14ac:dyDescent="0.25">
      <c r="A15" s="19" t="s">
        <v>51</v>
      </c>
      <c r="B15" s="20">
        <f>B13*B14</f>
        <v>4128662963.498199</v>
      </c>
      <c r="C15" s="20">
        <f>C13*C14</f>
        <v>3925878718.326933</v>
      </c>
      <c r="D15" s="20">
        <f>D13*D14</f>
        <v>3733054465.1562834</v>
      </c>
      <c r="E15" s="20">
        <f>E13*E14</f>
        <v>3549701007.004657</v>
      </c>
      <c r="F15" s="20">
        <f>F13*F14</f>
        <v>3375353174.388352</v>
      </c>
    </row>
    <row r="17" spans="1:2" x14ac:dyDescent="0.25">
      <c r="A17" s="22" t="s">
        <v>52</v>
      </c>
      <c r="B17" s="23">
        <f>SUM(B15:F15)</f>
        <v>18712650328.374424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4262267888.6351957</v>
      </c>
    </row>
    <row r="5" spans="1:2" x14ac:dyDescent="0.25">
      <c r="A5" t="s">
        <v>56</v>
      </c>
      <c r="B5" s="18">
        <f>IF(Assumptions!$B$33=0,B4,B4-Forecast!F11-Forecast!F10-Forecast!F12)</f>
        <v>4217872491.187849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0.16465160882796845</v>
      </c>
    </row>
    <row r="7" spans="1:2" x14ac:dyDescent="0.25">
      <c r="A7" t="s">
        <v>58</v>
      </c>
      <c r="B7" s="18">
        <f>-MAX(Forecast!F9,0)*B6</f>
        <v>-694479491.5053105</v>
      </c>
    </row>
    <row r="8" spans="1:2" x14ac:dyDescent="0.25">
      <c r="A8" t="s">
        <v>59</v>
      </c>
      <c r="B8" s="18">
        <f>IF(OR(Assumptions!$B$33=0,Assumptions!B12&lt;=0),B5,MAX(B5+B7,0))</f>
        <v>3523392999.6825385</v>
      </c>
    </row>
    <row r="9" spans="1:2" x14ac:dyDescent="0.25">
      <c r="A9" t="s">
        <v>60</v>
      </c>
      <c r="B9" s="18">
        <f>B8*(1+Assumptions!B12)/(Assumptions!B26-Assumptions!B12)</f>
        <v>128011072534.8704</v>
      </c>
    </row>
    <row r="10" spans="1:2" x14ac:dyDescent="0.25">
      <c r="A10" t="s">
        <v>61</v>
      </c>
      <c r="B10" s="18">
        <f>B9/(1+Assumptions!B26)^(5-0.5*Assumptions!B32)</f>
        <v>101373867463.7337</v>
      </c>
    </row>
    <row r="11" spans="1:2" x14ac:dyDescent="0.25">
      <c r="A11" t="s">
        <v>62</v>
      </c>
      <c r="B11" s="18">
        <f>Forecast!B17+B10</f>
        <v>120086517792.10812</v>
      </c>
    </row>
    <row r="12" spans="1:2" x14ac:dyDescent="0.25">
      <c r="A12" t="s">
        <v>63</v>
      </c>
      <c r="B12" s="18">
        <f>-Assumptions!B30</f>
        <v>-1618746000</v>
      </c>
    </row>
    <row r="13" spans="1:2" x14ac:dyDescent="0.25">
      <c r="A13" t="s">
        <v>64</v>
      </c>
      <c r="B13" s="18">
        <f>B11+B12</f>
        <v>118467771792.10812</v>
      </c>
    </row>
    <row r="14" spans="1:2" x14ac:dyDescent="0.25">
      <c r="A14" s="19" t="s">
        <v>65</v>
      </c>
      <c r="B14" s="24">
        <f>B13/Assumptions!B31</f>
        <v>21.015894075224395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8503636666.857398</v>
      </c>
    </row>
    <row r="18" spans="1:2" x14ac:dyDescent="0.25">
      <c r="A18" t="s">
        <v>60</v>
      </c>
      <c r="B18" s="18">
        <f>B17*Assumptions!B13</f>
        <v>56196807592.72641</v>
      </c>
    </row>
    <row r="19" spans="1:2" x14ac:dyDescent="0.25">
      <c r="A19" t="s">
        <v>61</v>
      </c>
      <c r="B19" s="18">
        <f>B18/(1+Assumptions!B26)^(5-0.5*Assumptions!B32)</f>
        <v>44503085647.0494</v>
      </c>
    </row>
    <row r="20" spans="1:2" x14ac:dyDescent="0.25">
      <c r="A20" t="s">
        <v>62</v>
      </c>
      <c r="B20" s="18">
        <f>Forecast!B17+B19</f>
        <v>63215735975.42383</v>
      </c>
    </row>
    <row r="21" spans="1:2" x14ac:dyDescent="0.25">
      <c r="A21" t="s">
        <v>63</v>
      </c>
      <c r="B21" s="18">
        <f>-Assumptions!B30</f>
        <v>-1618746000</v>
      </c>
    </row>
    <row r="22" spans="1:2" x14ac:dyDescent="0.25">
      <c r="A22" t="s">
        <v>64</v>
      </c>
      <c r="B22" s="18">
        <f>B20+B21</f>
        <v>61596989975.42383</v>
      </c>
    </row>
    <row r="23" spans="1:2" x14ac:dyDescent="0.25">
      <c r="A23" s="19" t="s">
        <v>65</v>
      </c>
      <c r="B23" s="25">
        <f>B22/Assumptions!B31</f>
        <v>10.927155943709593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11.72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24.605408783272722</v>
      </c>
    </row>
    <row r="29" spans="1:2" x14ac:dyDescent="0.25">
      <c r="A29" s="19" t="s">
        <v>73</v>
      </c>
      <c r="B29" s="12">
        <f>B28/B26-1</f>
        <v>1.0994376094942595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0.033212</v>
      </c>
      <c r="B5" s="31">
        <v>35.63308044120623</v>
      </c>
      <c r="C5" s="31">
        <v>46.48911530705505</v>
      </c>
      <c r="D5" s="31">
        <v>70.53896900948126</v>
      </c>
      <c r="E5" s="31">
        <v>169.3976112087154</v>
      </c>
      <c r="F5" s="31" t="s">
        <v>76</v>
      </c>
    </row>
    <row r="6" spans="1:6" x14ac:dyDescent="0.25">
      <c r="A6" s="30">
        <v>0.043212</v>
      </c>
      <c r="B6" s="31">
        <v>23.16456923924863</v>
      </c>
      <c r="C6" s="31">
        <v>26.70955052990987</v>
      </c>
      <c r="D6" s="31">
        <v>32.1898561798295</v>
      </c>
      <c r="E6" s="31">
        <v>41.80272092930997</v>
      </c>
      <c r="F6" s="31">
        <v>63.096657502829224</v>
      </c>
    </row>
    <row r="7" spans="1:6" x14ac:dyDescent="0.25">
      <c r="A7" s="30">
        <v>0.053212</v>
      </c>
      <c r="B7" s="31">
        <v>17.216846268329434</v>
      </c>
      <c r="C7" s="31">
        <v>18.833408769176625</v>
      </c>
      <c r="D7" s="32">
        <v>21.016060119909408</v>
      </c>
      <c r="E7" s="31">
        <v>24.130616827002203</v>
      </c>
      <c r="F7" s="31">
        <v>28.94462668012116</v>
      </c>
    </row>
    <row r="8" spans="1:6" x14ac:dyDescent="0.25">
      <c r="A8" s="30">
        <v>0.063212</v>
      </c>
      <c r="B8" s="31">
        <v>13.732562284754284</v>
      </c>
      <c r="C8" s="31">
        <v>14.5970439254721</v>
      </c>
      <c r="D8" s="31">
        <v>15.682864773805427</v>
      </c>
      <c r="E8" s="31">
        <v>17.089991351319753</v>
      </c>
      <c r="F8" s="31">
        <v>18.989258265193392</v>
      </c>
    </row>
    <row r="9" spans="1:6" x14ac:dyDescent="0.25">
      <c r="A9" s="30">
        <v>0.073212</v>
      </c>
      <c r="B9" s="31">
        <v>11.442337167674284</v>
      </c>
      <c r="C9" s="31">
        <v>11.94865895795146</v>
      </c>
      <c r="D9" s="31">
        <v>12.556281865923044</v>
      </c>
      <c r="E9" s="31">
        <v>13.300370122946449</v>
      </c>
      <c r="F9" s="31">
        <v>14.23449277109686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79068022000</v>
      </c>
      <c r="C5" s="18">
        <v>80650914000</v>
      </c>
      <c r="D5" s="18">
        <v>80418075000</v>
      </c>
      <c r="E5" s="18">
        <v>78717420000</v>
      </c>
      <c r="F5" s="8" t="s">
        <v>85</v>
      </c>
    </row>
    <row r="6" spans="1:6" x14ac:dyDescent="0.25">
      <c r="A6" t="s">
        <v>44</v>
      </c>
      <c r="B6" s="18">
        <v>6612306000</v>
      </c>
      <c r="C6" s="18">
        <v>5882111000</v>
      </c>
      <c r="D6" s="18">
        <v>4134045000</v>
      </c>
      <c r="E6" s="18">
        <v>3569781000</v>
      </c>
      <c r="F6" s="8" t="s">
        <v>86</v>
      </c>
    </row>
    <row r="7" spans="1:6" x14ac:dyDescent="0.25">
      <c r="A7" t="s">
        <v>87</v>
      </c>
      <c r="B7" s="18">
        <v>3630303000</v>
      </c>
      <c r="C7" s="18">
        <v>3501807000</v>
      </c>
      <c r="D7" s="18">
        <v>3448637000</v>
      </c>
      <c r="E7" s="18">
        <v>3265577000</v>
      </c>
      <c r="F7" s="8" t="s">
        <v>88</v>
      </c>
    </row>
    <row r="8" spans="1:6" x14ac:dyDescent="0.25">
      <c r="A8" t="s">
        <v>89</v>
      </c>
      <c r="B8" s="18">
        <v>3111623000</v>
      </c>
      <c r="C8" s="18">
        <v>3608390000</v>
      </c>
      <c r="D8" s="18">
        <v>3644379000</v>
      </c>
      <c r="E8" s="18">
        <v>3238944000</v>
      </c>
      <c r="F8" s="8" t="s">
        <v>90</v>
      </c>
    </row>
    <row r="9" spans="1:6" x14ac:dyDescent="0.25">
      <c r="A9" t="s">
        <v>91</v>
      </c>
      <c r="B9" s="18">
        <v>-167993000</v>
      </c>
      <c r="C9" s="18">
        <v>-641963000</v>
      </c>
      <c r="D9" s="18">
        <v>417940000</v>
      </c>
      <c r="E9" s="18">
        <v>663842000</v>
      </c>
      <c r="F9" s="8" t="s">
        <v>92</v>
      </c>
    </row>
    <row r="10" spans="1:6" x14ac:dyDescent="0.25">
      <c r="A10" t="s">
        <v>93</v>
      </c>
      <c r="B10" s="18">
        <v>15234937000</v>
      </c>
      <c r="C10" s="18">
        <v>13518755000</v>
      </c>
      <c r="D10" s="18">
        <v>14055387000</v>
      </c>
      <c r="E10" s="18">
        <v>17920123000</v>
      </c>
      <c r="F10" s="8" t="s">
        <v>94</v>
      </c>
    </row>
    <row r="11" spans="1:6" x14ac:dyDescent="0.25">
      <c r="A11" t="s">
        <v>95</v>
      </c>
      <c r="B11" s="18">
        <v>13616191000</v>
      </c>
      <c r="C11" s="18">
        <v>9688439000</v>
      </c>
      <c r="D11" s="18">
        <v>11396576000</v>
      </c>
      <c r="E11" s="18">
        <v>14033922000</v>
      </c>
      <c r="F11" s="8" t="s">
        <v>96</v>
      </c>
    </row>
    <row r="12" spans="1:6" x14ac:dyDescent="0.25">
      <c r="A12" t="s">
        <v>32</v>
      </c>
      <c r="B12" s="34">
        <v>5637056000</v>
      </c>
      <c r="C12" s="34">
        <v>5634724000</v>
      </c>
      <c r="D12" s="34">
        <v>5635846000</v>
      </c>
      <c r="E12" s="34">
        <v>5635485000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2026-09-19T00:09:44Z</dcterms:modified>
</cp:coreProperties>
</file>