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<sst xmlns="http://schemas.openxmlformats.org/spreadsheetml/2006/main" count="115" uniqueCount="103">
  <si>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China Petroleum &amp; Chemical Corporation (0386.HK)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</si>
  <si>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</si>
  <si>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</si>
  <si>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</si>
  <si>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</si>
  <si>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</si>
  <si>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</si>
  <si>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</si>
  <si>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</si>
  <si>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</si>
  <si>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</si>
  <si>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</si>
  <si>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</si>
  <si>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</si>
  <si>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</si>
  <si>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</si>
  <si>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</si>
  <si>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</si>
  <si>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</si>
  <si>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</si>
  <si>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</si>
  <si>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</si>
  <si>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</si>
  <si>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</si>
  <si>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</si>
  <si>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</si>
  <si>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</si>
  <si>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</si>
  <si>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</si>
  <si>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</si>
  <si>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</si>
  <si>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</si>
  <si>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</si>
  <si>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</si>
  <si>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</si>
  <si>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</si>
  <si>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</si>
  <si>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</si>
  <si>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</si>
  <si>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</si>
  <si>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</si>
  <si>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</si>
  <si>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</si>
  <si>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</si>
  <si>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</si>
  <si>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</si>
  <si>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</si>
  <si>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</si>
  <si>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</si>
  <si>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</si>
  <si>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</si>
  <si>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</si>
  <si>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</si>
  <si>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</si>
  <si>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</si>
  <si>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</si>
  <si>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</si>
  <si>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</si>
  <si>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</si>
  <si>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</si>
  <si>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</si>
  <si>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</si>
  <si>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</si>
  <si>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</si>
  <si>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</si>
  <si>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</si>
  <si>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</si>
  <si>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</si>
  <si>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</si>
  <si>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</si>
  <si>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</si>
  <si>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</si>
  <si>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</si>
  <si>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</si>
  <si>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</si>
  <si>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</si>
  <si>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</si>
  <si>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</si>
  <si>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</si>
  <si>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</si>
  <si>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</si>
  <si>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</si>
  <si>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</si>
  <si>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</si>
  <si>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</si>
  <si>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</si>
  <si>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</si>
  <si>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</si>
  <si>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</si>
  <si>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</si>
  <si>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</si>
  <si>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</si>
  <si>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</si>
  <si>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</si>
  <si>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</si>
  <si>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</si>
  <si>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</si>
  <si>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</si>
  <si>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</si>
  <si>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Free cashflow is negative in at least one forecast year, so terminal value carries most of the valuation.</t>
  </si>
  <si>
    <t>Adjusted: Capital expenditure runs at 5.0% of revenue against depreciation of 3.8%.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</si>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</sst>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-0.05696748039491284</v>
      </c>
    </row>
    <row r="7" spans="1:2" x14ac:dyDescent="0.25">
      <c r="A7" t="s">
        <v>5</v>
      </c>
      <c r="B7" s="6">
        <v>0.024225894080444548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0.038389560568491535</v>
      </c>
    </row>
    <row r="10" spans="1:2" x14ac:dyDescent="0.25">
      <c r="A10" t="s">
        <v>8</v>
      </c>
      <c r="B10" s="6">
        <v>0.049689619959357265</v>
      </c>
    </row>
    <row r="11" spans="1:2" x14ac:dyDescent="0.25">
      <c r="A11" t="s">
        <v>9</v>
      </c>
      <c r="B11" s="6">
        <v>-0.27457769841097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5.115820422330935</v>
      </c>
    </row>
    <row r="14" spans="1:3" x14ac:dyDescent="0.25">
      <c r="A14" t="s">
        <v>12</v>
      </c>
      <c r="B14" s="6">
        <v>0.05988924292406721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0.80168</v>
      </c>
      <c r="C19" s="8" t="s">
        <v>19</v>
      </c>
    </row>
    <row r="20" spans="1:2" x14ac:dyDescent="0.25">
      <c r="A20" t="s">
        <v>20</v>
      </c>
      <c r="B20" s="10">
        <f>B17+B19*B18</f>
        <v>0.0881176</v>
      </c>
    </row>
    <row r="21" spans="1:3" x14ac:dyDescent="0.25">
      <c r="A21" t="s">
        <v>21</v>
      </c>
      <c r="B21" s="6">
        <v>0.036582858266754475</v>
      </c>
      <c r="C21" s="8" t="s">
        <v>22</v>
      </c>
    </row>
    <row r="22" spans="1:2" x14ac:dyDescent="0.25">
      <c r="A22" t="s">
        <v>23</v>
      </c>
      <c r="B22" s="11">
        <v>544416497664</v>
      </c>
    </row>
    <row r="23" spans="1:2" x14ac:dyDescent="0.25">
      <c r="A23" t="s">
        <v>24</v>
      </c>
      <c r="B23" s="11">
        <v>531006000000</v>
      </c>
    </row>
    <row r="24" spans="1:2" x14ac:dyDescent="0.25">
      <c r="A24" t="s">
        <v>25</v>
      </c>
      <c r="B24" s="10">
        <f>B22/(B22+B23)</f>
        <v>0.506234990291318</v>
      </c>
    </row>
    <row r="25" spans="1:2" x14ac:dyDescent="0.25">
      <c r="A25" t="s">
        <v>26</v>
      </c>
      <c r="B25" s="10">
        <f>1-B24</f>
        <v>0.493765009708682</v>
      </c>
    </row>
    <row r="26" spans="1:2" x14ac:dyDescent="0.25">
      <c r="A26" t="s">
        <v>27</v>
      </c>
      <c r="B26" s="12">
        <f>B24*B20+B25*B21*(1-B8)</f>
        <v>0.05969109741215248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2781752000000</v>
      </c>
      <c r="C29" s="8" t="s">
        <v>30</v>
      </c>
    </row>
    <row r="30" spans="1:2" x14ac:dyDescent="0.25">
      <c r="A30" t="s">
        <v>31</v>
      </c>
      <c r="B30" s="11">
        <v>374789000000</v>
      </c>
    </row>
    <row r="31" spans="1:2" x14ac:dyDescent="0.25">
      <c r="A31" t="s">
        <v>32</v>
      </c>
      <c r="B31" s="13">
        <v>121187000000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-0.05696748039491284</v>
      </c>
      <c r="C5" s="10">
        <f>Assumptions!B6</f>
        <v>-0.05696748039491284</v>
      </c>
      <c r="D5" s="10">
        <f>Assumptions!B6</f>
        <v>-0.05696748039491284</v>
      </c>
      <c r="E5" s="10">
        <f>Assumptions!B6</f>
        <v>-0.05696748039491284</v>
      </c>
      <c r="F5" s="10">
        <f>Assumptions!B6</f>
        <v>-0.05696748039491284</v>
      </c>
    </row>
    <row r="6" spans="1:6" x14ac:dyDescent="0.25">
      <c r="A6" t="s">
        <v>43</v>
      </c>
      <c r="B6" s="18">
        <f>Assumptions!B29*(1+B5)</f>
        <v>2623282597476.49</v>
      </c>
      <c r="C6" s="18">
        <f>B6*(1+C5)</f>
        <v>2473840797534.432</v>
      </c>
      <c r="D6" s="18">
        <f>C6*(1+D5)</f>
        <v>2332912320400.754</v>
      </c>
      <c r="E6" s="18">
        <f>D6*(1+E5)</f>
        <v>2200012183525.2734</v>
      </c>
      <c r="F6" s="18">
        <f>E6*(1+F5)</f>
        <v>2074683032591.728</v>
      </c>
    </row>
    <row r="7" spans="1:6" x14ac:dyDescent="0.25">
      <c r="A7" t="s">
        <v>5</v>
      </c>
      <c r="B7" s="10">
        <f>Assumptions!B7</f>
        <v>0.024225894080444548</v>
      </c>
      <c r="C7" s="10">
        <f>Assumptions!B7</f>
        <v>0.024225894080444548</v>
      </c>
      <c r="D7" s="10">
        <f>Assumptions!B7</f>
        <v>0.024225894080444548</v>
      </c>
      <c r="E7" s="10">
        <f>Assumptions!B7</f>
        <v>0.024225894080444548</v>
      </c>
      <c r="F7" s="10">
        <f>Assumptions!B7</f>
        <v>0.024225894080444548</v>
      </c>
    </row>
    <row r="8" spans="1:6" x14ac:dyDescent="0.25">
      <c r="A8" t="s">
        <v>44</v>
      </c>
      <c r="B8" s="18">
        <f>B6*B7</f>
        <v>63551366349.5389</v>
      </c>
      <c r="C8" s="18">
        <f>C6*C7</f>
        <v>59931005132.95162</v>
      </c>
      <c r="D8" s="18">
        <f>D6*D7</f>
        <v>56516886772.99278</v>
      </c>
      <c r="E8" s="18">
        <f>E6*E7</f>
        <v>53297262133.770805</v>
      </c>
      <c r="F8" s="18">
        <f>F6*F7</f>
        <v>50261051398.06269</v>
      </c>
    </row>
    <row r="9" spans="1:6" x14ac:dyDescent="0.25">
      <c r="A9" t="s">
        <v>45</v>
      </c>
      <c r="B9" s="18">
        <f>B8*(1-Assumptions!B8)</f>
        <v>53065390901.86498</v>
      </c>
      <c r="C9" s="18">
        <f>C8*(1-Assumptions!B8)</f>
        <v>50042389286.0146</v>
      </c>
      <c r="D9" s="18">
        <f>D8*(1-Assumptions!B8)</f>
        <v>47191600455.448975</v>
      </c>
      <c r="E9" s="18">
        <f>E8*(1-Assumptions!B8)</f>
        <v>44503213881.69862</v>
      </c>
      <c r="F9" s="18">
        <f>F8*(1-Assumptions!B8)</f>
        <v>41967977917.38235</v>
      </c>
    </row>
    <row r="10" spans="1:6" x14ac:dyDescent="0.25">
      <c r="A10" t="s">
        <v>46</v>
      </c>
      <c r="B10" s="18">
        <f>B6*Assumptions!B9</f>
        <v>100706666164.09352</v>
      </c>
      <c r="C10" s="18">
        <f>C6*Assumptions!B9</f>
        <v>94969661133.75348</v>
      </c>
      <c r="D10" s="18">
        <f>D6*Assumptions!B9</f>
        <v>89559478825.00487</v>
      </c>
      <c r="E10" s="18">
        <f>E6*Assumptions!B9</f>
        <v>84457500970.8628</v>
      </c>
      <c r="F10" s="18">
        <f>F6*Assumptions!B9</f>
        <v>79646169940.10184</v>
      </c>
    </row>
    <row r="11" spans="1:6" x14ac:dyDescent="0.25">
      <c r="A11" t="s">
        <v>47</v>
      </c>
      <c r="B11" s="18">
        <f>-B6*Assumptions!B10</f>
        <v>-130349915314.60237</v>
      </c>
      <c r="C11" s="18">
        <f>-C6*Assumptions!B10</f>
        <v>-122924209069.43921</v>
      </c>
      <c r="D11" s="18">
        <f>-D6*Assumptions!B10</f>
        <v>-115921526599.21577</v>
      </c>
      <c r="E11" s="18">
        <f>-E6*Assumptions!B10</f>
        <v>-109317769305.32658</v>
      </c>
      <c r="F11" s="18">
        <f>-F6*Assumptions!B10</f>
        <v>-103090211425.60979</v>
      </c>
    </row>
    <row r="12" spans="1:6" x14ac:dyDescent="0.25">
      <c r="A12" t="s">
        <v>48</v>
      </c>
      <c r="B12" s="18">
        <f>-(B6-Assumptions!B29)*Assumptions!B11</f>
        <v>-43512163813.46687</v>
      </c>
      <c r="C12" s="18">
        <f>-(C6-B6)*Assumptions!B11</f>
        <v>-41033385474.48295</v>
      </c>
      <c r="D12" s="18">
        <f>-(D6-C6)*Assumptions!B11</f>
        <v>-38695816891.92838</v>
      </c>
      <c r="E12" s="18">
        <f>-(E6-D6)*Assumptions!B11</f>
        <v>-36491413701.77231</v>
      </c>
      <c r="F12" s="18">
        <f>-(F6-E6)*Assumptions!B11</f>
        <v>-34412589807.13397</v>
      </c>
    </row>
    <row r="13" spans="1:6" x14ac:dyDescent="0.25">
      <c r="A13" s="19" t="s">
        <v>49</v>
      </c>
      <c r="B13" s="20">
        <f>B9+B10+B11+B12</f>
        <v>-20090022062.11075</v>
      </c>
      <c r="C13" s="20">
        <f>C9+C10+C11+C12</f>
        <v>-18945544124.15409</v>
      </c>
      <c r="D13" s="20">
        <f>D9+D10+D11+D12</f>
        <v>-17866264210.690315</v>
      </c>
      <c r="E13" s="20">
        <f>E9+E10+E11+E12</f>
        <v>-16848468154.537476</v>
      </c>
      <c r="F13" s="20">
        <f>F9+F10+F11+F12</f>
        <v>-15888653375.259567</v>
      </c>
    </row>
    <row r="14" spans="1:6" x14ac:dyDescent="0.25">
      <c r="A14" t="s">
        <v>50</v>
      </c>
      <c r="B14" s="21">
        <f>1/(1+Assumptions!$B$26)^(1-0.5*Assumptions!$B$32)</f>
        <v>0.9714274181631355</v>
      </c>
      <c r="C14" s="21">
        <f>1/(1+Assumptions!$B$26)^(2-0.5*Assumptions!$B$32)</f>
        <v>0.9167081053482815</v>
      </c>
      <c r="D14" s="21">
        <f>1/(1+Assumptions!$B$26)^(3-0.5*Assumptions!$B$32)</f>
        <v>0.8650710641874347</v>
      </c>
      <c r="E14" s="21">
        <f>1/(1+Assumptions!$B$26)^(4-0.5*Assumptions!$B$32)</f>
        <v>0.8163426741056947</v>
      </c>
      <c r="F14" s="21">
        <f>1/(1+Assumptions!$B$26)^(5-0.5*Assumptions!$B$32)</f>
        <v>0.7703590943618065</v>
      </c>
    </row>
    <row r="15" spans="1:6" x14ac:dyDescent="0.25">
      <c r="A15" s="19" t="s">
        <v>51</v>
      </c>
      <c r="B15" s="20">
        <f>B13*B14</f>
        <v>-19515998262.636677</v>
      </c>
      <c r="C15" s="20">
        <f>C13*C14</f>
        <v>-17367533858.845566</v>
      </c>
      <c r="D15" s="20">
        <f>D13*D14</f>
        <v>-15455588193.79575</v>
      </c>
      <c r="E15" s="20">
        <f>E13*E14</f>
        <v>-13754123547.859762</v>
      </c>
      <c r="F15" s="20">
        <f>F13*F14</f>
        <v>-12239968624.793621</v>
      </c>
    </row>
    <row r="17" spans="1:2" x14ac:dyDescent="0.25">
      <c r="A17" s="22" t="s">
        <v>52</v>
      </c>
      <c r="B17" s="23">
        <f>SUM(B15:F15)</f>
        <v>-78333212487.93137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-15888653375.259567</v>
      </c>
    </row>
    <row r="5" spans="1:2" x14ac:dyDescent="0.25">
      <c r="A5" t="s">
        <v>56</v>
      </c>
      <c r="B5" s="18">
        <f>IF(Assumptions!$B$33=0,B4,B4-Forecast!F11-Forecast!F10-Forecast!F12)</f>
        <v>41967977917.38235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0.41743723545974987</v>
      </c>
    </row>
    <row r="7" spans="1:2" x14ac:dyDescent="0.25">
      <c r="A7" t="s">
        <v>58</v>
      </c>
      <c r="B7" s="18">
        <f>-MAX(Forecast!F9,0)*B6</f>
        <v>-17518996679.66792</v>
      </c>
    </row>
    <row r="8" spans="1:2" x14ac:dyDescent="0.25">
      <c r="A8" t="s">
        <v>59</v>
      </c>
      <c r="B8" s="18">
        <f>IF(OR(Assumptions!$B$33=0,Assumptions!B12&lt;=0),B5,MAX(B5+B7,0))</f>
        <v>24448981237.714428</v>
      </c>
    </row>
    <row r="9" spans="1:2" x14ac:dyDescent="0.25">
      <c r="A9" t="s">
        <v>60</v>
      </c>
      <c r="B9" s="18">
        <f>B8*(1+Assumptions!B12)/(Assumptions!B26-Assumptions!B12)</f>
        <v>722381464931.0737</v>
      </c>
    </row>
    <row r="10" spans="1:2" x14ac:dyDescent="0.25">
      <c r="A10" t="s">
        <v>61</v>
      </c>
      <c r="B10" s="18">
        <f>B9/(1+Assumptions!B26)^(5-0.5*Assumptions!B32)</f>
        <v>556493131108.057</v>
      </c>
    </row>
    <row r="11" spans="1:2" x14ac:dyDescent="0.25">
      <c r="A11" t="s">
        <v>62</v>
      </c>
      <c r="B11" s="18">
        <f>Forecast!B17+B10</f>
        <v>478159918620.1256</v>
      </c>
    </row>
    <row r="12" spans="1:2" x14ac:dyDescent="0.25">
      <c r="A12" t="s">
        <v>63</v>
      </c>
      <c r="B12" s="18">
        <f>-Assumptions!B30</f>
        <v>-374789000000</v>
      </c>
    </row>
    <row r="13" spans="1:2" x14ac:dyDescent="0.25">
      <c r="A13" t="s">
        <v>64</v>
      </c>
      <c r="B13" s="18">
        <f>B11+B12</f>
        <v>103370918620.12561</v>
      </c>
    </row>
    <row r="14" spans="1:2" x14ac:dyDescent="0.25">
      <c r="A14" s="19" t="s">
        <v>65</v>
      </c>
      <c r="B14" s="24">
        <f>B13/Assumptions!B31</f>
        <v>0.8529868601428009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129907221338.16452</v>
      </c>
    </row>
    <row r="18" spans="1:2" x14ac:dyDescent="0.25">
      <c r="A18" t="s">
        <v>60</v>
      </c>
      <c r="B18" s="18">
        <f>B17*Assumptions!B13</f>
        <v>664582015930.047</v>
      </c>
    </row>
    <row r="19" spans="1:2" x14ac:dyDescent="0.25">
      <c r="A19" t="s">
        <v>61</v>
      </c>
      <c r="B19" s="18">
        <f>B18/(1+Assumptions!B26)^(5-0.5*Assumptions!B32)</f>
        <v>511966799921.01465</v>
      </c>
    </row>
    <row r="20" spans="1:2" x14ac:dyDescent="0.25">
      <c r="A20" t="s">
        <v>62</v>
      </c>
      <c r="B20" s="18">
        <f>Forecast!B17+B19</f>
        <v>433633587433.08325</v>
      </c>
    </row>
    <row r="21" spans="1:2" x14ac:dyDescent="0.25">
      <c r="A21" t="s">
        <v>63</v>
      </c>
      <c r="B21" s="18">
        <f>-Assumptions!B30</f>
        <v>-374789000000</v>
      </c>
    </row>
    <row r="22" spans="1:2" x14ac:dyDescent="0.25">
      <c r="A22" t="s">
        <v>64</v>
      </c>
      <c r="B22" s="18">
        <f>B20+B21</f>
        <v>58844587433.08325</v>
      </c>
    </row>
    <row r="23" spans="1:2" x14ac:dyDescent="0.25">
      <c r="A23" s="19" t="s">
        <v>65</v>
      </c>
      <c r="B23" s="25">
        <f>B22/Assumptions!B31</f>
        <v>0.48556848039049777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4.51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0.9986770158551913</v>
      </c>
    </row>
    <row r="29" spans="1:2" x14ac:dyDescent="0.25">
      <c r="A29" s="19" t="s">
        <v>73</v>
      </c>
      <c r="B29" s="12">
        <f>B28/B26-1</f>
        <v>-0.7785638545775628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0.039691</v>
      </c>
      <c r="B5" s="31">
        <v>5.188167994049423</v>
      </c>
      <c r="C5" s="31">
        <v>6.260589448886181</v>
      </c>
      <c r="D5" s="31">
        <v>8.046478044561116</v>
      </c>
      <c r="E5" s="31">
        <v>11.650158114225896</v>
      </c>
      <c r="F5" s="31">
        <v>22.88422230547115</v>
      </c>
    </row>
    <row r="6" spans="1:6" x14ac:dyDescent="0.25">
      <c r="A6" s="30">
        <v>0.049691</v>
      </c>
      <c r="B6" s="31">
        <v>2.3524532093329746</v>
      </c>
      <c r="C6" s="31">
        <v>2.617271842209383</v>
      </c>
      <c r="D6" s="31">
        <v>2.97992971341898</v>
      </c>
      <c r="E6" s="31">
        <v>3.5149577546055584</v>
      </c>
      <c r="F6" s="31">
        <v>4.398351646774811</v>
      </c>
    </row>
    <row r="7" spans="1:6" x14ac:dyDescent="0.25">
      <c r="A7" s="30">
        <v>0.059691</v>
      </c>
      <c r="B7" s="31">
        <v>0.8024197741390515</v>
      </c>
      <c r="C7" s="31">
        <v>0.8273304620510971</v>
      </c>
      <c r="D7" s="32">
        <v>0.853001519297278</v>
      </c>
      <c r="E7" s="31">
        <v>0.8798170872002866</v>
      </c>
      <c r="F7" s="31">
        <v>0.9084724660659963</v>
      </c>
    </row>
    <row r="8" spans="1:6" x14ac:dyDescent="0.25">
      <c r="A8" s="30">
        <v>0.069691</v>
      </c>
      <c r="B8" s="31">
        <v>-0.000785078847053851</v>
      </c>
      <c r="C8" s="31">
        <v>0.01756309219601018</v>
      </c>
      <c r="D8" s="31">
        <v>0.0359112632390722</v>
      </c>
      <c r="E8" s="31">
        <v>0.05425943428213724</v>
      </c>
      <c r="F8" s="31">
        <v>0.07260760532519925</v>
      </c>
    </row>
    <row r="9" spans="1:6" x14ac:dyDescent="0.25">
      <c r="A9" s="30">
        <v>0.079691</v>
      </c>
      <c r="B9" s="31">
        <v>-0.5886942146153654</v>
      </c>
      <c r="C9" s="31">
        <v>-0.5733064663691942</v>
      </c>
      <c r="D9" s="31">
        <v>-0.5579187181230242</v>
      </c>
      <c r="E9" s="31">
        <v>-0.542530969876855</v>
      </c>
      <c r="F9" s="31">
        <v>-0.5271432216306849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2781752000000</v>
      </c>
      <c r="C5" s="18">
        <v>3073106000000</v>
      </c>
      <c r="D5" s="18">
        <v>3210863000000</v>
      </c>
      <c r="E5" s="18">
        <v>3316946000000</v>
      </c>
      <c r="F5" s="8" t="s">
        <v>84</v>
      </c>
    </row>
    <row r="6" spans="1:6" x14ac:dyDescent="0.25">
      <c r="A6" t="s">
        <v>44</v>
      </c>
      <c r="B6" s="18">
        <v>52508000000</v>
      </c>
      <c r="C6" s="18">
        <v>69356000000</v>
      </c>
      <c r="D6" s="18">
        <v>86490000000</v>
      </c>
      <c r="E6" s="18">
        <v>94607000000</v>
      </c>
      <c r="F6" s="8" t="s">
        <v>85</v>
      </c>
    </row>
    <row r="7" spans="1:6" x14ac:dyDescent="0.25">
      <c r="A7" t="s">
        <v>86</v>
      </c>
      <c r="B7" s="18">
        <v>127171000000</v>
      </c>
      <c r="C7" s="18">
        <v>120714000000</v>
      </c>
      <c r="D7" s="18">
        <v>113750000000</v>
      </c>
      <c r="E7" s="18">
        <v>109906000000</v>
      </c>
      <c r="F7" s="8" t="s">
        <v>87</v>
      </c>
    </row>
    <row r="8" spans="1:6" x14ac:dyDescent="0.25">
      <c r="A8" t="s">
        <v>88</v>
      </c>
      <c r="B8" s="18">
        <v>133625000000</v>
      </c>
      <c r="C8" s="18">
        <v>139206000000</v>
      </c>
      <c r="D8" s="18">
        <v>171493000000</v>
      </c>
      <c r="E8" s="18">
        <v>172527000000</v>
      </c>
      <c r="F8" s="8" t="s">
        <v>89</v>
      </c>
    </row>
    <row r="9" spans="1:6" x14ac:dyDescent="0.25">
      <c r="A9" t="s">
        <v>90</v>
      </c>
      <c r="B9" s="18">
        <v>11754000000</v>
      </c>
      <c r="C9" s="18">
        <v>37825000000</v>
      </c>
      <c r="D9" s="18">
        <v>38241000000</v>
      </c>
      <c r="E9" s="18">
        <v>73810000000</v>
      </c>
      <c r="F9" s="8" t="s">
        <v>91</v>
      </c>
    </row>
    <row r="10" spans="1:6" x14ac:dyDescent="0.25">
      <c r="A10" t="s">
        <v>92</v>
      </c>
      <c r="B10" s="18">
        <v>531006000000</v>
      </c>
      <c r="C10" s="18">
        <v>475695000000</v>
      </c>
      <c r="D10" s="18">
        <v>440231000000</v>
      </c>
      <c r="E10" s="18">
        <v>356701000000</v>
      </c>
      <c r="F10" s="8" t="s">
        <v>93</v>
      </c>
    </row>
    <row r="11" spans="1:6" x14ac:dyDescent="0.25">
      <c r="A11" t="s">
        <v>94</v>
      </c>
      <c r="B11" s="18">
        <v>156217000000</v>
      </c>
      <c r="C11" s="18">
        <v>148197000000</v>
      </c>
      <c r="D11" s="18">
        <v>165761000000</v>
      </c>
      <c r="E11" s="18">
        <v>148561000000</v>
      </c>
      <c r="F11" s="8" t="s">
        <v>95</v>
      </c>
    </row>
    <row r="12" spans="1:6" x14ac:dyDescent="0.25">
      <c r="A12" t="s">
        <v>32</v>
      </c>
      <c r="B12" s="34">
        <v>121187000000</v>
      </c>
      <c r="C12" s="34">
        <v>121281417698</v>
      </c>
      <c r="D12" s="34">
        <v>119811000000</v>
      </c>
      <c r="E12" s="34">
        <v>120889000000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