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<sst xmlns="http://schemas.openxmlformats.org/spreadsheetml/2006/main" count="113" uniqueCount="101">
  <si>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Hong Kong Exchanges and Clearing Limited (0388.HK)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</si>
  <si>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</si>
  <si>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</si>
  <si>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</si>
  <si>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</si>
  <si>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</si>
  <si>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</si>
  <si>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</si>
  <si>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</si>
  <si>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</si>
  <si>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</si>
  <si>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</si>
  <si>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</si>
  <si>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</si>
  <si>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</si>
  <si>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</si>
  <si>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</si>
  <si>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</si>
  <si>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</si>
  <si>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</si>
  <si>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</si>
  <si>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</si>
  <si>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435.6% is not a credible funding cost, so risk-free + 2bp is assumed instead. Interest expense and reported debt are measuring different things - common for banks, whose interest expense includes deposits that total debt excludes.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</si>
  <si>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</si>
  <si>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</si>
  <si>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</si>
  <si>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</si>
  <si>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</si>
  <si>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</si>
  <si>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</si>
  <si>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2025-12-31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</si>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</sst>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0.11927689678271247</v>
      </c>
    </row>
    <row r="7" spans="1:2" x14ac:dyDescent="0.25">
      <c r="A7" t="s">
        <v>5</v>
      </c>
      <c r="B7" s="6">
        <v>0.6050522512975642</v>
      </c>
    </row>
    <row r="8" spans="1:2" x14ac:dyDescent="0.25">
      <c r="A8" t="s">
        <v>6</v>
      </c>
      <c r="B8" s="6">
        <v>0.12423281740263781</v>
      </c>
    </row>
    <row r="9" spans="1:2" x14ac:dyDescent="0.25">
      <c r="A9" t="s">
        <v>7</v>
      </c>
      <c r="B9" s="6">
        <v>0.08161170612684354</v>
      </c>
    </row>
    <row r="10" spans="1:2" x14ac:dyDescent="0.25">
      <c r="A10" t="s">
        <v>8</v>
      </c>
      <c r="B10" s="6">
        <v>0.08275405960041166</v>
      </c>
    </row>
    <row r="11" spans="1:2" x14ac:dyDescent="0.25">
      <c r="A11" t="s">
        <v>9</v>
      </c>
      <c r="B11" s="6">
        <v>0.029550033579583614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9.782141145183175</v>
      </c>
    </row>
    <row r="14" spans="1:3" x14ac:dyDescent="0.25">
      <c r="A14" t="s">
        <v>12</v>
      </c>
      <c r="B14" s="6">
        <v>0.17318850067440344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0.95645</v>
      </c>
      <c r="C19" s="8" t="s">
        <v>19</v>
      </c>
    </row>
    <row r="20" spans="1:2" x14ac:dyDescent="0.25">
      <c r="A20" t="s">
        <v>20</v>
      </c>
      <c r="B20" s="10">
        <f>B17+B19*B18</f>
        <v>0.09895150000000001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490431512576</v>
      </c>
    </row>
    <row r="23" spans="1:2" x14ac:dyDescent="0.25">
      <c r="A23" t="s">
        <v>24</v>
      </c>
      <c r="B23" s="11">
        <v>851000000</v>
      </c>
    </row>
    <row r="24" spans="1:2" x14ac:dyDescent="0.25">
      <c r="A24" t="s">
        <v>25</v>
      </c>
      <c r="B24" s="10">
        <f>B22/(B22+B23)</f>
        <v>0.9982677991212473</v>
      </c>
    </row>
    <row r="25" spans="1:2" x14ac:dyDescent="0.25">
      <c r="A25" t="s">
        <v>26</v>
      </c>
      <c r="B25" s="10">
        <f>1-B24</f>
        <v>0.0017322008787526988</v>
      </c>
    </row>
    <row r="26" spans="1:2" x14ac:dyDescent="0.25">
      <c r="A26" t="s">
        <v>27</v>
      </c>
      <c r="B26" s="12">
        <f>B24*B20+B25*B21*(1-B8)</f>
        <v>0.09885898036827656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23745000000</v>
      </c>
      <c r="C29" s="8" t="s">
        <v>30</v>
      </c>
    </row>
    <row r="30" spans="1:2" x14ac:dyDescent="0.25">
      <c r="A30" t="s">
        <v>31</v>
      </c>
      <c r="B30" s="11">
        <v>-317405000000</v>
      </c>
    </row>
    <row r="31" spans="1:2" x14ac:dyDescent="0.25">
      <c r="A31" t="s">
        <v>32</v>
      </c>
      <c r="B31" s="13">
        <v>1267564000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0.11927689678271247</v>
      </c>
      <c r="C5" s="10">
        <f>Assumptions!B6</f>
        <v>0.11927689678271247</v>
      </c>
      <c r="D5" s="10">
        <f>Assumptions!B6</f>
        <v>0.11927689678271247</v>
      </c>
      <c r="E5" s="10">
        <f>Assumptions!B6</f>
        <v>0.11927689678271247</v>
      </c>
      <c r="F5" s="10">
        <f>Assumptions!B6</f>
        <v>0.11927689678271247</v>
      </c>
    </row>
    <row r="6" spans="1:6" x14ac:dyDescent="0.25">
      <c r="A6" t="s">
        <v>43</v>
      </c>
      <c r="B6" s="18">
        <f>Assumptions!B29*(1+B5)</f>
        <v>26577229914.105507</v>
      </c>
      <c r="C6" s="18">
        <f>B6*(1+C5)</f>
        <v>29747279423.340687</v>
      </c>
      <c r="D6" s="18">
        <f>C6*(1+D5)</f>
        <v>33295442600.685</v>
      </c>
      <c r="E6" s="18">
        <f>D6*(1+E5)</f>
        <v>37266819671.10163</v>
      </c>
      <c r="F6" s="18">
        <f>E6*(1+F5)</f>
        <v>41711890274.43158</v>
      </c>
    </row>
    <row r="7" spans="1:6" x14ac:dyDescent="0.25">
      <c r="A7" t="s">
        <v>5</v>
      </c>
      <c r="B7" s="10">
        <f>Assumptions!B7</f>
        <v>0.6050522512975642</v>
      </c>
      <c r="C7" s="10">
        <f>Assumptions!B7</f>
        <v>0.6050522512975642</v>
      </c>
      <c r="D7" s="10">
        <f>Assumptions!B7</f>
        <v>0.6050522512975642</v>
      </c>
      <c r="E7" s="10">
        <f>Assumptions!B7</f>
        <v>0.6050522512975642</v>
      </c>
      <c r="F7" s="10">
        <f>Assumptions!B7</f>
        <v>0.6050522512975642</v>
      </c>
    </row>
    <row r="8" spans="1:6" x14ac:dyDescent="0.25">
      <c r="A8" t="s">
        <v>44</v>
      </c>
      <c r="B8" s="18">
        <f>B6*B7</f>
        <v>16080612792.782507</v>
      </c>
      <c r="C8" s="18">
        <f>C6*C7</f>
        <v>17998658385.069992</v>
      </c>
      <c r="D8" s="18">
        <f>D6*D7</f>
        <v>20145482503.493286</v>
      </c>
      <c r="E8" s="18">
        <f>E6*E7</f>
        <v>22548373140.700394</v>
      </c>
      <c r="F8" s="18">
        <f>F6*F7</f>
        <v>25237873116.421803</v>
      </c>
    </row>
    <row r="9" spans="1:6" x14ac:dyDescent="0.25">
      <c r="A9" t="s">
        <v>45</v>
      </c>
      <c r="B9" s="18">
        <f>B8*(1-Assumptions!B8)</f>
        <v>14082872959.974236</v>
      </c>
      <c r="C9" s="18">
        <f>C8*(1-Assumptions!B8)</f>
        <v>15762634344.425137</v>
      </c>
      <c r="D9" s="18">
        <f>D8*(1-Assumptions!B8)</f>
        <v>17642752454.14877</v>
      </c>
      <c r="E9" s="18">
        <f>E8*(1-Assumptions!B8)</f>
        <v>19747125217.58522</v>
      </c>
      <c r="F9" s="18">
        <f>F8*(1-Assumptions!B8)</f>
        <v>22102501033.91843</v>
      </c>
    </row>
    <row r="10" spans="1:6" x14ac:dyDescent="0.25">
      <c r="A10" t="s">
        <v>46</v>
      </c>
      <c r="B10" s="18">
        <f>B6*Assumptions!B9</f>
        <v>2169013077.415534</v>
      </c>
      <c r="C10" s="18">
        <f>C6*Assumptions!B9</f>
        <v>2427726226.37078</v>
      </c>
      <c r="D10" s="18">
        <f>D6*Assumptions!B9</f>
        <v>2717297876.8902917</v>
      </c>
      <c r="E10" s="18">
        <f>E6*Assumptions!B9</f>
        <v>3041408735.2800183</v>
      </c>
      <c r="F10" s="18">
        <f>F6*Assumptions!B9</f>
        <v>3404178531.0720534</v>
      </c>
    </row>
    <row r="11" spans="1:6" x14ac:dyDescent="0.25">
      <c r="A11" t="s">
        <v>47</v>
      </c>
      <c r="B11" s="18">
        <f>-B6*Assumptions!B10</f>
        <v>-2199373668.325731</v>
      </c>
      <c r="C11" s="18">
        <f>-C6*Assumptions!B10</f>
        <v>-2461708134.3492346</v>
      </c>
      <c r="D11" s="18">
        <f>-D6*Assumptions!B10</f>
        <v>-2755333041.399172</v>
      </c>
      <c r="E11" s="18">
        <f>-E6*Assumptions!B10</f>
        <v>-3083980616.180138</v>
      </c>
      <c r="F11" s="18">
        <f>-F6*Assumptions!B10</f>
        <v>-3451828253.816142</v>
      </c>
    </row>
    <row r="12" spans="1:6" x14ac:dyDescent="0.25">
      <c r="A12" t="s">
        <v>48</v>
      </c>
      <c r="B12" s="18">
        <f>-(B6-Assumptions!B29)*Assumptions!B11</f>
        <v>-83692489.06691894</v>
      </c>
      <c r="C12" s="18">
        <f>-(C6-B6)*Assumptions!B11</f>
        <v>-93675069.44684212</v>
      </c>
      <c r="D12" s="18">
        <f>-(D6-C6)*Assumptions!B11</f>
        <v>-104848341.03636658</v>
      </c>
      <c r="E12" s="18">
        <f>-(E6-D6)*Assumptions!B11</f>
        <v>-117354325.78799981</v>
      </c>
      <c r="F12" s="18">
        <f>-(F6-E6)*Assumptions!B11</f>
        <v>-131351985.59201998</v>
      </c>
    </row>
    <row r="13" spans="1:6" x14ac:dyDescent="0.25">
      <c r="A13" s="19" t="s">
        <v>49</v>
      </c>
      <c r="B13" s="20">
        <f>B9+B10+B11+B12</f>
        <v>13968819879.99712</v>
      </c>
      <c r="C13" s="20">
        <f>C9+C10+C11+C12</f>
        <v>15634977366.99984</v>
      </c>
      <c r="D13" s="20">
        <f>D9+D10+D11+D12</f>
        <v>17499868948.603527</v>
      </c>
      <c r="E13" s="20">
        <f>E9+E10+E11+E12</f>
        <v>19587199010.897102</v>
      </c>
      <c r="F13" s="20">
        <f>F9+F10+F11+F12</f>
        <v>21923499325.58232</v>
      </c>
    </row>
    <row r="14" spans="1:6" x14ac:dyDescent="0.25">
      <c r="A14" t="s">
        <v>50</v>
      </c>
      <c r="B14" s="21">
        <f>1/(1+Assumptions!$B$26)^(1-0.5*Assumptions!$B$32)</f>
        <v>0.953957483168875</v>
      </c>
      <c r="C14" s="21">
        <f>1/(1+Assumptions!$B$26)^(2-0.5*Assumptions!$B$32)</f>
        <v>0.8681345834286773</v>
      </c>
      <c r="D14" s="21">
        <f>1/(1+Assumptions!$B$26)^(3-0.5*Assumptions!$B$32)</f>
        <v>0.7900327511886254</v>
      </c>
      <c r="E14" s="21">
        <f>1/(1+Assumptions!$B$26)^(4-0.5*Assumptions!$B$32)</f>
        <v>0.718957359682177</v>
      </c>
      <c r="F14" s="21">
        <f>1/(1+Assumptions!$B$26)^(5-0.5*Assumptions!$B$32)</f>
        <v>0.6542762743234098</v>
      </c>
    </row>
    <row r="15" spans="1:6" x14ac:dyDescent="0.25">
      <c r="A15" s="19" t="s">
        <v>51</v>
      </c>
      <c r="B15" s="20">
        <f>B13*B14</f>
        <v>13325660255.5614</v>
      </c>
      <c r="C15" s="20">
        <f>C13*C14</f>
        <v>13573264563.417204</v>
      </c>
      <c r="D15" s="20">
        <f>D13*D14</f>
        <v>13825469610.905642</v>
      </c>
      <c r="E15" s="20">
        <f>E13*E14</f>
        <v>14082360884.44393</v>
      </c>
      <c r="F15" s="20">
        <f>F13*F14</f>
        <v>14344025458.873789</v>
      </c>
    </row>
    <row r="17" spans="1:2" x14ac:dyDescent="0.25">
      <c r="A17" s="22" t="s">
        <v>52</v>
      </c>
      <c r="B17" s="23">
        <f>SUM(B15:F15)</f>
        <v>69150780773.20197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21923499325.58232</v>
      </c>
    </row>
    <row r="5" spans="1:2" x14ac:dyDescent="0.25">
      <c r="A5" t="s">
        <v>56</v>
      </c>
      <c r="B5" s="18">
        <f>IF(Assumptions!$B$33=0,B4,B4-Forecast!F11-Forecast!F10-Forecast!F12)</f>
        <v>22102501033.91843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0.14435138535554573</v>
      </c>
    </row>
    <row r="7" spans="1:2" x14ac:dyDescent="0.25">
      <c r="A7" t="s">
        <v>58</v>
      </c>
      <c r="B7" s="18">
        <f>-MAX(Forecast!F9,0)*B6</f>
        <v>-3190526644.068507</v>
      </c>
    </row>
    <row r="8" spans="1:2" x14ac:dyDescent="0.25">
      <c r="A8" t="s">
        <v>59</v>
      </c>
      <c r="B8" s="18">
        <f>IF(OR(Assumptions!$B$33=0,Assumptions!B12&lt;=0),B5,MAX(B5+B7,0))</f>
        <v>18911974389.849922</v>
      </c>
    </row>
    <row r="9" spans="1:2" x14ac:dyDescent="0.25">
      <c r="A9" t="s">
        <v>60</v>
      </c>
      <c r="B9" s="18">
        <f>B8*(1+Assumptions!B12)/(Assumptions!B26-Assumptions!B12)</f>
        <v>262456557793.50824</v>
      </c>
    </row>
    <row r="10" spans="1:2" x14ac:dyDescent="0.25">
      <c r="A10" t="s">
        <v>61</v>
      </c>
      <c r="B10" s="18">
        <f>B9/(1+Assumptions!B26)^(5-0.5*Assumptions!B32)</f>
        <v>171719098804.88327</v>
      </c>
    </row>
    <row r="11" spans="1:2" x14ac:dyDescent="0.25">
      <c r="A11" t="s">
        <v>62</v>
      </c>
      <c r="B11" s="18">
        <f>Forecast!B17+B10</f>
        <v>240869879578.08524</v>
      </c>
    </row>
    <row r="12" spans="1:2" x14ac:dyDescent="0.25">
      <c r="A12" t="s">
        <v>63</v>
      </c>
      <c r="B12" s="18">
        <f>-Assumptions!B30</f>
        <v>317405000000</v>
      </c>
    </row>
    <row r="13" spans="1:2" x14ac:dyDescent="0.25">
      <c r="A13" t="s">
        <v>64</v>
      </c>
      <c r="B13" s="18">
        <f>B11+B12</f>
        <v>558274879578.0852</v>
      </c>
    </row>
    <row r="14" spans="1:2" x14ac:dyDescent="0.25">
      <c r="A14" s="19" t="s">
        <v>65</v>
      </c>
      <c r="B14" s="24">
        <f>B13/Assumptions!B31</f>
        <v>440.4313151667965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28642051647.493855</v>
      </c>
    </row>
    <row r="18" spans="1:2" x14ac:dyDescent="0.25">
      <c r="A18" t="s">
        <v>60</v>
      </c>
      <c r="B18" s="18">
        <f>B17*Assumptions!B13</f>
        <v>280180591903.4112</v>
      </c>
    </row>
    <row r="19" spans="1:2" x14ac:dyDescent="0.25">
      <c r="A19" t="s">
        <v>61</v>
      </c>
      <c r="B19" s="18">
        <f>B18/(1+Assumptions!B26)^(5-0.5*Assumptions!B32)</f>
        <v>183315513808.2916</v>
      </c>
    </row>
    <row r="20" spans="1:2" x14ac:dyDescent="0.25">
      <c r="A20" t="s">
        <v>62</v>
      </c>
      <c r="B20" s="18">
        <f>Forecast!B17+B19</f>
        <v>252466294581.49356</v>
      </c>
    </row>
    <row r="21" spans="1:2" x14ac:dyDescent="0.25">
      <c r="A21" t="s">
        <v>63</v>
      </c>
      <c r="B21" s="18">
        <f>-Assumptions!B30</f>
        <v>317405000000</v>
      </c>
    </row>
    <row r="22" spans="1:2" x14ac:dyDescent="0.25">
      <c r="A22" t="s">
        <v>64</v>
      </c>
      <c r="B22" s="18">
        <f>B20+B21</f>
        <v>569871294581.4935</v>
      </c>
    </row>
    <row r="23" spans="1:2" x14ac:dyDescent="0.25">
      <c r="A23" s="19" t="s">
        <v>65</v>
      </c>
      <c r="B23" s="25">
        <f>B22/Assumptions!B31</f>
        <v>449.57989859406985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388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440.4313151667965</v>
      </c>
    </row>
    <row r="29" spans="1:2" x14ac:dyDescent="0.25">
      <c r="A29" s="19" t="s">
        <v>73</v>
      </c>
      <c r="B29" s="12">
        <f>B28/B26-1</f>
        <v>0.1351322555845269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0.078859</v>
      </c>
      <c r="B5" s="31">
        <v>487.48067316695875</v>
      </c>
      <c r="C5" s="31">
        <v>497.5247400107117</v>
      </c>
      <c r="D5" s="31">
        <v>509.3672649425071</v>
      </c>
      <c r="E5" s="31">
        <v>523.5603851595993</v>
      </c>
      <c r="F5" s="31">
        <v>540.9080161475086</v>
      </c>
    </row>
    <row r="6" spans="1:6" x14ac:dyDescent="0.25">
      <c r="A6" s="30">
        <v>0.088859</v>
      </c>
      <c r="B6" s="31">
        <v>455.4609755185693</v>
      </c>
      <c r="C6" s="31">
        <v>462.0005444236474</v>
      </c>
      <c r="D6" s="31">
        <v>469.5104333616267</v>
      </c>
      <c r="E6" s="31">
        <v>478.2379248295515</v>
      </c>
      <c r="F6" s="31">
        <v>488.5221272020513</v>
      </c>
    </row>
    <row r="7" spans="1:6" x14ac:dyDescent="0.25">
      <c r="A7" s="30">
        <v>0.098859</v>
      </c>
      <c r="B7" s="31">
        <v>431.08564908473596</v>
      </c>
      <c r="C7" s="31">
        <v>435.4830647337857</v>
      </c>
      <c r="D7" s="32">
        <v>440.4312657946821</v>
      </c>
      <c r="E7" s="31">
        <v>446.0502334053695</v>
      </c>
      <c r="F7" s="31">
        <v>452.49752559599017</v>
      </c>
    </row>
    <row r="8" spans="1:6" x14ac:dyDescent="0.25">
      <c r="A8" s="30">
        <v>0.108859</v>
      </c>
      <c r="B8" s="31">
        <v>411.9112508909186</v>
      </c>
      <c r="C8" s="31">
        <v>414.93197075439343</v>
      </c>
      <c r="D8" s="31">
        <v>418.2751971325369</v>
      </c>
      <c r="E8" s="31">
        <v>422.002274928531</v>
      </c>
      <c r="F8" s="31">
        <v>426.191160400486</v>
      </c>
    </row>
    <row r="9" spans="1:6" x14ac:dyDescent="0.25">
      <c r="A9" s="30">
        <v>0.118859</v>
      </c>
      <c r="B9" s="31">
        <v>396.43539057239735</v>
      </c>
      <c r="C9" s="31">
        <v>398.53705936176635</v>
      </c>
      <c r="D9" s="31">
        <v>400.8302896194933</v>
      </c>
      <c r="E9" s="31">
        <v>403.3474182166367</v>
      </c>
      <c r="F9" s="31">
        <v>406.12849422474795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23745000000</v>
      </c>
      <c r="C5" s="18">
        <v>17346000000</v>
      </c>
      <c r="D5" s="18">
        <v>15445000000</v>
      </c>
      <c r="E5" s="18">
        <v>16934000000</v>
      </c>
      <c r="F5" s="8" t="s">
        <v>84</v>
      </c>
    </row>
    <row r="6" spans="1:6" x14ac:dyDescent="0.25">
      <c r="A6" t="s">
        <v>44</v>
      </c>
      <c r="B6" s="18">
        <v>16120000000</v>
      </c>
      <c r="C6" s="18">
        <v>10028000000</v>
      </c>
      <c r="D6" s="18">
        <v>8473000000</v>
      </c>
      <c r="E6" s="18">
        <v>10408000000</v>
      </c>
      <c r="F6" s="8" t="s">
        <v>85</v>
      </c>
    </row>
    <row r="7" spans="1:6" x14ac:dyDescent="0.25">
      <c r="A7" t="s">
        <v>86</v>
      </c>
      <c r="B7" s="18">
        <v>1568000000</v>
      </c>
      <c r="C7" s="18">
        <v>1402000000</v>
      </c>
      <c r="D7" s="18">
        <v>1443000000</v>
      </c>
      <c r="E7" s="18">
        <v>1459000000</v>
      </c>
      <c r="F7" s="8" t="s">
        <v>87</v>
      </c>
    </row>
    <row r="8" spans="1:6" x14ac:dyDescent="0.25">
      <c r="A8" t="s">
        <v>88</v>
      </c>
      <c r="B8" s="18">
        <v>1733000000</v>
      </c>
      <c r="C8" s="18">
        <v>1604000000</v>
      </c>
      <c r="D8" s="18">
        <v>1386000000</v>
      </c>
      <c r="E8" s="18">
        <v>1284000000</v>
      </c>
      <c r="F8" s="8" t="s">
        <v>89</v>
      </c>
    </row>
    <row r="9" spans="1:6" x14ac:dyDescent="0.25">
      <c r="A9" t="s">
        <v>90</v>
      </c>
      <c r="B9" s="18">
        <v>-940000000</v>
      </c>
      <c r="C9" s="18">
        <v>1255000000</v>
      </c>
      <c r="D9" s="18">
        <v>-44000000</v>
      </c>
      <c r="E9" s="18">
        <v>176000000</v>
      </c>
      <c r="F9" s="8" t="s">
        <v>91</v>
      </c>
    </row>
    <row r="10" spans="1:6" x14ac:dyDescent="0.25">
      <c r="A10" t="s">
        <v>92</v>
      </c>
      <c r="B10" s="18">
        <v>851000000</v>
      </c>
      <c r="C10" s="18">
        <v>1294000000</v>
      </c>
      <c r="D10" s="18">
        <v>1604000000</v>
      </c>
      <c r="E10" s="18">
        <v>1745000000</v>
      </c>
      <c r="F10" s="8" t="s">
        <v>93</v>
      </c>
    </row>
    <row r="11" spans="1:6" x14ac:dyDescent="0.25">
      <c r="A11" t="s">
        <v>94</v>
      </c>
      <c r="B11" s="18">
        <v>318256000000</v>
      </c>
      <c r="C11" s="18">
        <v>230910000000</v>
      </c>
      <c r="D11" s="18">
        <v>224698000000</v>
      </c>
      <c r="E11" s="18">
        <v>276389000000</v>
      </c>
      <c r="F11" s="8" t="s">
        <v>95</v>
      </c>
    </row>
    <row r="12" spans="1:6" x14ac:dyDescent="0.25">
      <c r="A12" t="s">
        <v>32</v>
      </c>
      <c r="B12" s="34">
        <v>1267564000</v>
      </c>
      <c r="C12" s="34">
        <v>1267700000</v>
      </c>
      <c r="D12" s="34">
        <v>1267809000</v>
      </c>
      <c r="E12" s="34">
        <v>1267724000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2026-09-19T00:09:45Z</dcterms:modified>
</cp:coreProperties>
</file>