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<sst xmlns="http://schemas.openxmlformats.org/spreadsheetml/2006/main" count="114" uniqueCount="102">
  <si>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Techtronic Industries Company Limited (0669.HK)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</si>
  <si>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</si>
  <si>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</si>
  <si>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</si>
  <si>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</si>
  <si>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</si>
  <si>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</si>
  <si>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</si>
  <si>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</si>
  <si>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</si>
  <si>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</si>
  <si>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</si>
  <si>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</si>
  <si>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</si>
  <si>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</si>
  <si>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</si>
  <si>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</si>
  <si>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</si>
  <si>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</si>
  <si>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</si>
  <si>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</si>
  <si>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</si>
  <si>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</si>
  <si>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</si>
  <si>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</si>
  <si>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</si>
  <si>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</si>
  <si>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</si>
  <si>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</si>
  <si>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</si>
  <si>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</si>
  <si>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</si>
  <si>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</si>
  <si>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</si>
  <si>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</si>
  <si>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</si>
  <si>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</si>
  <si>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</si>
  <si>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</si>
  <si>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</si>
  <si>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</si>
  <si>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</si>
  <si>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</si>
  <si>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</si>
  <si>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</si>
  <si>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</si>
  <si>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</si>
  <si>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</si>
  <si>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</si>
  <si>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</si>
  <si>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</si>
  <si>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</si>
  <si>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</si>
  <si>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</si>
  <si>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</si>
  <si>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</si>
  <si>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</si>
  <si>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</si>
  <si>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</si>
  <si>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</si>
  <si>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</si>
  <si>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</si>
  <si>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</si>
  <si>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</si>
  <si>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</si>
  <si>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</si>
  <si>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</si>
  <si>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</si>
  <si>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</si>
  <si>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</si>
  <si>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</si>
  <si>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</si>
  <si>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</si>
  <si>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</si>
  <si>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</si>
  <si>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</si>
  <si>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</si>
  <si>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</si>
  <si>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</si>
  <si>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</si>
  <si>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</si>
  <si>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</si>
  <si>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</si>
  <si>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</si>
  <si>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</si>
  <si>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</si>
  <si>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</si>
  <si>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</si>
  <si>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</si>
  <si>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</si>
  <si>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</si>
  <si>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</si>
  <si>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</si>
  <si>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</si>
  <si>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</si>
  <si>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</si>
  <si>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</si>
  <si>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</si>
  <si>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HKD. Modelled in USD, converted at the end.</t>
  </si>
  <si>
    <t>Note: Risk-free rate is an assumption: HKD assumption - no free live source available for this market.</t>
  </si>
  <si>
    <t>Current EV/EBITDA of 106.3x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</si>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</sst>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0.04809101696090701</v>
      </c>
    </row>
    <row r="7" spans="1:2" x14ac:dyDescent="0.25">
      <c r="A7" t="s">
        <v>5</v>
      </c>
      <c r="B7" s="6">
        <v>0.08691957136628346</v>
      </c>
    </row>
    <row r="8" spans="1:2" x14ac:dyDescent="0.25">
      <c r="A8" t="s">
        <v>6</v>
      </c>
      <c r="B8" s="6">
        <v>0.07648192600538015</v>
      </c>
    </row>
    <row r="9" spans="1:2" x14ac:dyDescent="0.25">
      <c r="A9" t="s">
        <v>7</v>
      </c>
      <c r="B9" s="6">
        <v>0.04791433475652569</v>
      </c>
    </row>
    <row r="10" spans="1:2" x14ac:dyDescent="0.25">
      <c r="A10" t="s">
        <v>8</v>
      </c>
      <c r="B10" s="6">
        <v>0.05591116338094495</v>
      </c>
    </row>
    <row r="11" spans="1:2" x14ac:dyDescent="0.25">
      <c r="A11" t="s">
        <v>9</v>
      </c>
      <c r="B11" s="6">
        <v>-0.31820872720328464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0.1448629565697669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1.4884300000000001</v>
      </c>
      <c r="C19" s="8" t="s">
        <v>19</v>
      </c>
    </row>
    <row r="20" spans="1:2" x14ac:dyDescent="0.25">
      <c r="A20" t="s">
        <v>20</v>
      </c>
      <c r="B20" s="10">
        <f>B17+B19*B18</f>
        <v>0.13619010000000004</v>
      </c>
    </row>
    <row r="21" spans="1:3" x14ac:dyDescent="0.25">
      <c r="A21" t="s">
        <v>21</v>
      </c>
      <c r="B21" s="6">
        <v>0.050026259994393384</v>
      </c>
      <c r="C21" s="8" t="s">
        <v>22</v>
      </c>
    </row>
    <row r="22" spans="1:2" x14ac:dyDescent="0.25">
      <c r="A22" t="s">
        <v>23</v>
      </c>
      <c r="B22" s="11">
        <v>234491068416</v>
      </c>
    </row>
    <row r="23" spans="1:2" x14ac:dyDescent="0.25">
      <c r="A23" t="s">
        <v>24</v>
      </c>
      <c r="B23" s="11">
        <v>1756344000</v>
      </c>
    </row>
    <row r="24" spans="1:2" x14ac:dyDescent="0.25">
      <c r="A24" t="s">
        <v>25</v>
      </c>
      <c r="B24" s="10">
        <f>B22/(B22+B23)</f>
        <v>0.9925656582561535</v>
      </c>
    </row>
    <row r="25" spans="1:2" x14ac:dyDescent="0.25">
      <c r="A25" t="s">
        <v>26</v>
      </c>
      <c r="B25" s="10">
        <f>1-B24</f>
        <v>0.007434341743846495</v>
      </c>
    </row>
    <row r="26" spans="1:2" x14ac:dyDescent="0.25">
      <c r="A26" t="s">
        <v>27</v>
      </c>
      <c r="B26" s="12">
        <f>B24*B20+B25*B21*(1-B8)</f>
        <v>0.1355210839974356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15259533000</v>
      </c>
      <c r="C29" s="8" t="s">
        <v>30</v>
      </c>
    </row>
    <row r="30" spans="1:2" x14ac:dyDescent="0.25">
      <c r="A30" t="s">
        <v>31</v>
      </c>
      <c r="B30" s="11">
        <v>46865000</v>
      </c>
    </row>
    <row r="31" spans="1:2" x14ac:dyDescent="0.25">
      <c r="A31" t="s">
        <v>32</v>
      </c>
      <c r="B31" s="13">
        <v>1832086458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0.04809101696090701</v>
      </c>
      <c r="C5" s="10">
        <f>Assumptions!B6</f>
        <v>0.04809101696090701</v>
      </c>
      <c r="D5" s="10">
        <f>Assumptions!B6</f>
        <v>0.04809101696090701</v>
      </c>
      <c r="E5" s="10">
        <f>Assumptions!B6</f>
        <v>0.04809101696090701</v>
      </c>
      <c r="F5" s="10">
        <f>Assumptions!B6</f>
        <v>0.04809101696090701</v>
      </c>
    </row>
    <row r="6" spans="1:6" x14ac:dyDescent="0.25">
      <c r="A6" t="s">
        <v>43</v>
      </c>
      <c r="B6" s="18">
        <f>Assumptions!B29*(1+B5)</f>
        <v>15993379460.31852</v>
      </c>
      <c r="C6" s="18">
        <f>B6*(1+C5)</f>
        <v>16762517343.206919</v>
      </c>
      <c r="D6" s="18">
        <f>C6*(1+D5)</f>
        <v>17568643849.06658</v>
      </c>
      <c r="E6" s="18">
        <f>D6*(1+E5)</f>
        <v>18413537798.392178</v>
      </c>
      <c r="F6" s="18">
        <f>E6*(1+F5)</f>
        <v>19299063556.96496</v>
      </c>
    </row>
    <row r="7" spans="1:6" x14ac:dyDescent="0.25">
      <c r="A7" t="s">
        <v>5</v>
      </c>
      <c r="B7" s="10">
        <f>Assumptions!B7</f>
        <v>0.08691957136628346</v>
      </c>
      <c r="C7" s="10">
        <f>Assumptions!B7</f>
        <v>0.08691957136628346</v>
      </c>
      <c r="D7" s="10">
        <f>Assumptions!B7</f>
        <v>0.08691957136628346</v>
      </c>
      <c r="E7" s="10">
        <f>Assumptions!B7</f>
        <v>0.08691957136628346</v>
      </c>
      <c r="F7" s="10">
        <f>Assumptions!B7</f>
        <v>0.08691957136628346</v>
      </c>
    </row>
    <row r="8" spans="1:6" x14ac:dyDescent="0.25">
      <c r="A8" t="s">
        <v>44</v>
      </c>
      <c r="B8" s="18">
        <f>B6*B7</f>
        <v>1390137687.3892076</v>
      </c>
      <c r="C8" s="18">
        <f>C6*C7</f>
        <v>1456990822.4914382</v>
      </c>
      <c r="D8" s="18">
        <f>D6*D7</f>
        <v>1527058992.8477597</v>
      </c>
      <c r="E8" s="18">
        <f>E6*E7</f>
        <v>1600496812.773107</v>
      </c>
      <c r="F8" s="18">
        <f>F6*F7</f>
        <v>1677466332.142056</v>
      </c>
    </row>
    <row r="9" spans="1:6" x14ac:dyDescent="0.25">
      <c r="A9" t="s">
        <v>45</v>
      </c>
      <c r="B9" s="18">
        <f>B8*(1-Assumptions!B8)</f>
        <v>1283817279.645016</v>
      </c>
      <c r="C9" s="18">
        <f>C8*(1-Assumptions!B8)</f>
        <v>1345557358.21513</v>
      </c>
      <c r="D9" s="18">
        <f>D8*(1-Assumptions!B8)</f>
        <v>1410266579.950927</v>
      </c>
      <c r="E9" s="18">
        <f>E8*(1-Assumptions!B8)</f>
        <v>1478087733.9667475</v>
      </c>
      <c r="F9" s="18">
        <f>F8*(1-Assumptions!B8)</f>
        <v>1549170476.250651</v>
      </c>
    </row>
    <row r="10" spans="1:6" x14ac:dyDescent="0.25">
      <c r="A10" t="s">
        <v>46</v>
      </c>
      <c r="B10" s="18">
        <f>B6*Assumptions!B9</f>
        <v>766312137.3498437</v>
      </c>
      <c r="C10" s="18">
        <f>C6*Assumptions!B9</f>
        <v>803164867.344484</v>
      </c>
      <c r="D10" s="18">
        <f>D6*Assumptions!B9</f>
        <v>841789882.6023523</v>
      </c>
      <c r="E10" s="18">
        <f>E6*Assumptions!B9</f>
        <v>882272414.1241019</v>
      </c>
      <c r="F10" s="18">
        <f>F6*Assumptions!B9</f>
        <v>924701791.7558844</v>
      </c>
    </row>
    <row r="11" spans="1:6" x14ac:dyDescent="0.25">
      <c r="A11" t="s">
        <v>47</v>
      </c>
      <c r="B11" s="18">
        <f>-B6*Assumptions!B10</f>
        <v>-894208452.0193179</v>
      </c>
      <c r="C11" s="18">
        <f>-C6*Assumptions!B10</f>
        <v>-937211845.8519653</v>
      </c>
      <c r="D11" s="18">
        <f>-D6*Assumptions!B10</f>
        <v>-982283316.6267952</v>
      </c>
      <c r="E11" s="18">
        <f>-E6*Assumptions!B10</f>
        <v>-1029522320.2671103</v>
      </c>
      <c r="F11" s="18">
        <f>-F6*Assumptions!B10</f>
        <v>-1079033095.6327083</v>
      </c>
    </row>
    <row r="12" spans="1:6" x14ac:dyDescent="0.25">
      <c r="A12" t="s">
        <v>48</v>
      </c>
      <c r="B12" s="18">
        <f>-(B6-Assumptions!B29)*Assumptions!B11</f>
        <v>233516348.10059184</v>
      </c>
      <c r="C12" s="18">
        <f>-(C6-B6)*Assumptions!B11</f>
        <v>244746386.7577465</v>
      </c>
      <c r="D12" s="18">
        <f>-(D6-C6)*Assumptions!B11</f>
        <v>256516489.39443454</v>
      </c>
      <c r="E12" s="18">
        <f>-(E6-D6)*Assumptions!B11</f>
        <v>268852628.23665434</v>
      </c>
      <c r="F12" s="18">
        <f>-(F6-E6)*Assumptions!B11</f>
        <v>281782024.5411676</v>
      </c>
    </row>
    <row r="13" spans="1:6" x14ac:dyDescent="0.25">
      <c r="A13" s="19" t="s">
        <v>49</v>
      </c>
      <c r="B13" s="20">
        <f>B9+B10+B11+B12</f>
        <v>1389437313.0761337</v>
      </c>
      <c r="C13" s="20">
        <f>C9+C10+C11+C12</f>
        <v>1456256766.4653952</v>
      </c>
      <c r="D13" s="20">
        <f>D9+D10+D11+D12</f>
        <v>1526289635.3209186</v>
      </c>
      <c r="E13" s="20">
        <f>E9+E10+E11+E12</f>
        <v>1599690456.0603933</v>
      </c>
      <c r="F13" s="20">
        <f>F9+F10+F11+F12</f>
        <v>1676621196.9149947</v>
      </c>
    </row>
    <row r="14" spans="1:6" x14ac:dyDescent="0.25">
      <c r="A14" t="s">
        <v>50</v>
      </c>
      <c r="B14" s="21">
        <f>1/(1+Assumptions!$B$26)^(1-0.5*Assumptions!$B$32)</f>
        <v>0.9384311145121742</v>
      </c>
      <c r="C14" s="21">
        <f>1/(1+Assumptions!$B$26)^(2-0.5*Assumptions!$B$32)</f>
        <v>0.8264321356399346</v>
      </c>
      <c r="D14" s="21">
        <f>1/(1+Assumptions!$B$26)^(3-0.5*Assumptions!$B$32)</f>
        <v>0.7277999037504449</v>
      </c>
      <c r="E14" s="21">
        <f>1/(1+Assumptions!$B$26)^(4-0.5*Assumptions!$B$32)</f>
        <v>0.6409391371125686</v>
      </c>
      <c r="F14" s="21">
        <f>1/(1+Assumptions!$B$26)^(5-0.5*Assumptions!$B$32)</f>
        <v>0.564444946153035</v>
      </c>
    </row>
    <row r="15" spans="1:6" x14ac:dyDescent="0.25">
      <c r="A15" s="19" t="s">
        <v>51</v>
      </c>
      <c r="B15" s="20">
        <f>B13*B14</f>
        <v>1303891206.2548368</v>
      </c>
      <c r="C15" s="20">
        <f>C13*C14</f>
        <v>1203497389.550102</v>
      </c>
      <c r="D15" s="20">
        <f>D13*D14</f>
        <v>1110833449.6818662</v>
      </c>
      <c r="E15" s="20">
        <f>E13*E14</f>
        <v>1025304220.5545598</v>
      </c>
      <c r="F15" s="20">
        <f>F13*F14</f>
        <v>946360361.2117213</v>
      </c>
    </row>
    <row r="17" spans="1:2" x14ac:dyDescent="0.25">
      <c r="A17" s="22" t="s">
        <v>52</v>
      </c>
      <c r="B17" s="23">
        <f>SUM(B15:F15)</f>
        <v>5589886627.253086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1676621196.9149947</v>
      </c>
    </row>
    <row r="5" spans="1:2" x14ac:dyDescent="0.25">
      <c r="A5" t="s">
        <v>56</v>
      </c>
      <c r="B5" s="18">
        <f>IF(Assumptions!$B$33=0,B4,B4-Forecast!F11-Forecast!F10-Forecast!F12)</f>
        <v>1864689102.6992824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0.17257690020954286</v>
      </c>
    </row>
    <row r="7" spans="1:2" x14ac:dyDescent="0.25">
      <c r="A7" t="s">
        <v>58</v>
      </c>
      <c r="B7" s="18">
        <f>-MAX(Forecast!F9,0)*B6</f>
        <v>-321802265.1983561</v>
      </c>
    </row>
    <row r="8" spans="1:2" x14ac:dyDescent="0.25">
      <c r="A8" t="s">
        <v>59</v>
      </c>
      <c r="B8" s="18">
        <f>IF(OR(Assumptions!$B$33=0,Assumptions!B12&lt;=0),B5,MAX(B5+B7,0))</f>
        <v>1542886837.5009263</v>
      </c>
    </row>
    <row r="9" spans="1:2" x14ac:dyDescent="0.25">
      <c r="A9" t="s">
        <v>60</v>
      </c>
      <c r="B9" s="18">
        <f>B8*(1+Assumptions!B12)/(Assumptions!B26-Assumptions!B12)</f>
        <v>14309115973.519981</v>
      </c>
    </row>
    <row r="10" spans="1:2" x14ac:dyDescent="0.25">
      <c r="A10" t="s">
        <v>61</v>
      </c>
      <c r="B10" s="18">
        <f>B9/(1+Assumptions!B26)^(5-0.5*Assumptions!B32)</f>
        <v>8076708195.171019</v>
      </c>
    </row>
    <row r="11" spans="1:2" x14ac:dyDescent="0.25">
      <c r="A11" t="s">
        <v>62</v>
      </c>
      <c r="B11" s="18">
        <f>Forecast!B17+B10</f>
        <v>13666594822.424105</v>
      </c>
    </row>
    <row r="12" spans="1:2" x14ac:dyDescent="0.25">
      <c r="A12" t="s">
        <v>63</v>
      </c>
      <c r="B12" s="18">
        <f>-Assumptions!B30</f>
        <v>-46865000</v>
      </c>
    </row>
    <row r="13" spans="1:2" x14ac:dyDescent="0.25">
      <c r="A13" t="s">
        <v>64</v>
      </c>
      <c r="B13" s="18">
        <f>B11+B12</f>
        <v>13619729822.424105</v>
      </c>
    </row>
    <row r="14" spans="1:2" x14ac:dyDescent="0.25">
      <c r="A14" s="19" t="s">
        <v>65</v>
      </c>
      <c r="B14" s="24">
        <f>B13/Assumptions!B31</f>
        <v>7.433999505291963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2602168123.8979406</v>
      </c>
    </row>
    <row r="18" spans="1:2" x14ac:dyDescent="0.25">
      <c r="A18" t="s">
        <v>60</v>
      </c>
      <c r="B18" s="18">
        <f>B17*Assumptions!B13</f>
        <v>52043362477.95882</v>
      </c>
    </row>
    <row r="19" spans="1:2" x14ac:dyDescent="0.25">
      <c r="A19" t="s">
        <v>61</v>
      </c>
      <c r="B19" s="18">
        <f>B18/(1+Assumptions!B26)^(5-0.5*Assumptions!B32)</f>
        <v>29375612931.494347</v>
      </c>
    </row>
    <row r="20" spans="1:2" x14ac:dyDescent="0.25">
      <c r="A20" t="s">
        <v>62</v>
      </c>
      <c r="B20" s="18">
        <f>Forecast!B17+B19</f>
        <v>34965499558.74744</v>
      </c>
    </row>
    <row r="21" spans="1:2" x14ac:dyDescent="0.25">
      <c r="A21" t="s">
        <v>63</v>
      </c>
      <c r="B21" s="18">
        <f>-Assumptions!B30</f>
        <v>-46865000</v>
      </c>
    </row>
    <row r="22" spans="1:2" x14ac:dyDescent="0.25">
      <c r="A22" t="s">
        <v>64</v>
      </c>
      <c r="B22" s="18">
        <f>B20+B21</f>
        <v>34918634558.74744</v>
      </c>
    </row>
    <row r="23" spans="1:2" x14ac:dyDescent="0.25">
      <c r="A23" s="19" t="s">
        <v>65</v>
      </c>
      <c r="B23" s="25">
        <f>B22/Assumptions!B31</f>
        <v>19.059490564035073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128.4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58.31303551946069</v>
      </c>
    </row>
    <row r="29" spans="1:2" x14ac:dyDescent="0.25">
      <c r="A29" s="19" t="s">
        <v>73</v>
      </c>
      <c r="B29" s="12">
        <f>B28/B26-1</f>
        <v>-0.5458486330260071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0.115521</v>
      </c>
      <c r="B5" s="31">
        <v>8.789182636745414</v>
      </c>
      <c r="C5" s="31">
        <v>8.883882881460119</v>
      </c>
      <c r="D5" s="31">
        <v>8.986671944244598</v>
      </c>
      <c r="E5" s="31">
        <v>9.09896856752524</v>
      </c>
      <c r="F5" s="31">
        <v>9.22254388439083</v>
      </c>
    </row>
    <row r="6" spans="1:6" x14ac:dyDescent="0.25">
      <c r="A6" s="30">
        <v>0.125521</v>
      </c>
      <c r="B6" s="31">
        <v>8.011320936808744</v>
      </c>
      <c r="C6" s="31">
        <v>8.070471844274756</v>
      </c>
      <c r="D6" s="31">
        <v>8.133454486322234</v>
      </c>
      <c r="E6" s="31">
        <v>8.200870573765785</v>
      </c>
      <c r="F6" s="31">
        <v>8.27345476133681</v>
      </c>
    </row>
    <row r="7" spans="1:6" x14ac:dyDescent="0.25">
      <c r="A7" s="30">
        <v>0.135521</v>
      </c>
      <c r="B7" s="31">
        <v>7.3627646160829325</v>
      </c>
      <c r="C7" s="31">
        <v>7.397701248105866</v>
      </c>
      <c r="D7" s="32">
        <v>7.434004851451242</v>
      </c>
      <c r="E7" s="31">
        <v>7.471869743551962</v>
      </c>
      <c r="F7" s="31">
        <v>7.511528903898178</v>
      </c>
    </row>
    <row r="8" spans="1:6" x14ac:dyDescent="0.25">
      <c r="A8" s="30">
        <v>0.145521</v>
      </c>
      <c r="B8" s="31">
        <v>6.815792335143233</v>
      </c>
      <c r="C8" s="31">
        <v>6.83476774012782</v>
      </c>
      <c r="D8" s="31">
        <v>6.853743145112405</v>
      </c>
      <c r="E8" s="31">
        <v>6.872718550096992</v>
      </c>
      <c r="F8" s="31">
        <v>6.8916939550815774</v>
      </c>
    </row>
    <row r="9" spans="1:6" x14ac:dyDescent="0.25">
      <c r="A9" s="30">
        <v>0.155521</v>
      </c>
      <c r="B9" s="31">
        <v>6.370324289216771</v>
      </c>
      <c r="C9" s="31">
        <v>6.387398519745151</v>
      </c>
      <c r="D9" s="31">
        <v>6.404472750273531</v>
      </c>
      <c r="E9" s="31">
        <v>6.421546980801911</v>
      </c>
      <c r="F9" s="31">
        <v>6.43862121133029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15259533000</v>
      </c>
      <c r="C5" s="18">
        <v>14621616000</v>
      </c>
      <c r="D5" s="18">
        <v>13731411000</v>
      </c>
      <c r="E5" s="18">
        <v>13253917000</v>
      </c>
      <c r="F5" s="8" t="s">
        <v>84</v>
      </c>
    </row>
    <row r="6" spans="1:6" x14ac:dyDescent="0.25">
      <c r="A6" t="s">
        <v>44</v>
      </c>
      <c r="B6" s="18">
        <v>1336093000</v>
      </c>
      <c r="C6" s="18">
        <v>1270295000</v>
      </c>
      <c r="D6" s="18">
        <v>1134689000</v>
      </c>
      <c r="E6" s="18">
        <v>1200910000</v>
      </c>
      <c r="F6" s="8" t="s">
        <v>85</v>
      </c>
    </row>
    <row r="7" spans="1:6" x14ac:dyDescent="0.25">
      <c r="A7" t="s">
        <v>86</v>
      </c>
      <c r="B7" s="18">
        <v>869406000</v>
      </c>
      <c r="C7" s="18">
        <v>779516000</v>
      </c>
      <c r="D7" s="18">
        <v>598432000</v>
      </c>
      <c r="E7" s="18">
        <v>500851000</v>
      </c>
      <c r="F7" s="8" t="s">
        <v>87</v>
      </c>
    </row>
    <row r="8" spans="1:6" x14ac:dyDescent="0.25">
      <c r="A8" t="s">
        <v>88</v>
      </c>
      <c r="B8" s="18">
        <v>589865000</v>
      </c>
      <c r="C8" s="18">
        <v>686408000</v>
      </c>
      <c r="D8" s="18">
        <v>874161000</v>
      </c>
      <c r="E8" s="18">
        <v>985866000</v>
      </c>
      <c r="F8" s="8" t="s">
        <v>89</v>
      </c>
    </row>
    <row r="9" spans="1:6" x14ac:dyDescent="0.25">
      <c r="A9" t="s">
        <v>90</v>
      </c>
      <c r="B9" s="18">
        <v>168003000</v>
      </c>
      <c r="C9" s="18">
        <v>-283271000</v>
      </c>
      <c r="D9" s="18">
        <v>-406173000</v>
      </c>
      <c r="E9" s="18">
        <v>431148000</v>
      </c>
      <c r="F9" s="8" t="s">
        <v>91</v>
      </c>
    </row>
    <row r="10" spans="1:6" x14ac:dyDescent="0.25">
      <c r="A10" t="s">
        <v>92</v>
      </c>
      <c r="B10" s="18">
        <v>1756344000</v>
      </c>
      <c r="C10" s="18">
        <v>2106947000</v>
      </c>
      <c r="D10" s="18">
        <v>2839014000</v>
      </c>
      <c r="E10" s="18">
        <v>3856030000</v>
      </c>
      <c r="F10" s="8" t="s">
        <v>93</v>
      </c>
    </row>
    <row r="11" spans="1:6" x14ac:dyDescent="0.25">
      <c r="A11" t="s">
        <v>94</v>
      </c>
      <c r="B11" s="18">
        <v>1709479000</v>
      </c>
      <c r="C11" s="18">
        <v>1254918000</v>
      </c>
      <c r="D11" s="18">
        <v>979354000</v>
      </c>
      <c r="E11" s="18">
        <v>1442396000</v>
      </c>
      <c r="F11" s="8" t="s">
        <v>95</v>
      </c>
    </row>
    <row r="12" spans="1:6" x14ac:dyDescent="0.25">
      <c r="A12" t="s">
        <v>32</v>
      </c>
      <c r="B12" s="34">
        <v>1832086458</v>
      </c>
      <c r="C12" s="34">
        <v>1836488994</v>
      </c>
      <c r="D12" s="34">
        <v>1836182920</v>
      </c>
      <c r="E12" s="34">
        <v>1836031528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2026-09-19T00:09:43Z</dcterms:modified>
</cp:coreProperties>
</file>