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<sst xmlns="http://schemas.openxmlformats.org/spreadsheetml/2006/main" count="117" uniqueCount="104">
  <si>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China Overseas Land &amp; Investment Limited (0688.HK)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</si>
  <si>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</si>
  <si>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</si>
  <si>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</si>
  <si>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</si>
  <si>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</si>
  <si>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</si>
  <si>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</si>
  <si>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</si>
  <si>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</si>
  <si>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</si>
  <si>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</si>
  <si>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</si>
  <si>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</si>
  <si>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</si>
  <si>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</si>
  <si>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</si>
  <si>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</si>
  <si>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</si>
  <si>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</si>
  <si>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</si>
  <si>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</si>
  <si>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</si>
  <si>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</si>
  <si>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</si>
  <si>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</si>
  <si>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</si>
  <si>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</si>
  <si>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</si>
  <si>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</si>
  <si>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</si>
  <si>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</si>
  <si>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</si>
  <si>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</si>
  <si>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</si>
  <si>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</si>
  <si>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</si>
  <si>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</si>
  <si>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</si>
  <si>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</si>
  <si>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</si>
  <si>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</si>
  <si>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</si>
  <si>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</si>
  <si>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</si>
  <si>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</si>
  <si>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</si>
  <si>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</si>
  <si>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</si>
  <si>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</si>
  <si>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</si>
  <si>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</si>
  <si>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</si>
  <si>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</si>
  <si>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</si>
  <si>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</si>
  <si>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</si>
  <si>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</si>
  <si>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</si>
  <si>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</si>
  <si>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</si>
  <si>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</si>
  <si>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</si>
  <si>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</si>
  <si>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</si>
  <si>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</si>
  <si>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</si>
  <si>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</si>
  <si>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</si>
  <si>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</si>
  <si>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</si>
  <si>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</si>
  <si>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</si>
  <si>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</si>
  <si>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</si>
  <si>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</si>
  <si>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</si>
  <si>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</si>
  <si>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</si>
  <si>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</si>
  <si>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</si>
  <si>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</si>
  <si>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</si>
  <si>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</si>
  <si>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</si>
  <si>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</si>
  <si>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</si>
  <si>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</si>
  <si>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</si>
  <si>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</si>
  <si>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</si>
  <si>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</si>
  <si>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</si>
  <si>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</si>
  <si>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</si>
  <si>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</si>
  <si>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</si>
  <si>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</si>
  <si>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</si>
  <si>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Reports in CNY, trades in HKD. Modelled in CNY, converted at the end.</t>
  </si>
  <si>
    <t>Adjusted: Reported capital expenditure averages just 0.18%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</si>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</sst>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-0.023144477087485904</v>
      </c>
    </row>
    <row r="7" spans="1:2" x14ac:dyDescent="0.25">
      <c r="A7" t="s">
        <v>5</v>
      </c>
      <c r="B7" s="6">
        <v>0.1472575051798447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0.0027303568277024046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0.29217435981938045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15.064068206519453</v>
      </c>
    </row>
    <row r="14" spans="1:3" x14ac:dyDescent="0.25">
      <c r="A14" t="s">
        <v>12</v>
      </c>
      <c r="B14" s="6">
        <v>0.04618765112574497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0.7185999999999999</v>
      </c>
      <c r="C19" s="8" t="s">
        <v>19</v>
      </c>
    </row>
    <row r="20" spans="1:2" x14ac:dyDescent="0.25">
      <c r="A20" t="s">
        <v>20</v>
      </c>
      <c r="B20" s="10">
        <f>B17+B19*B18</f>
        <v>0.082302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133527576576</v>
      </c>
    </row>
    <row r="23" spans="1:2" x14ac:dyDescent="0.25">
      <c r="A23" t="s">
        <v>24</v>
      </c>
      <c r="B23" s="11">
        <v>247706385000</v>
      </c>
    </row>
    <row r="24" spans="1:2" x14ac:dyDescent="0.25">
      <c r="A24" t="s">
        <v>25</v>
      </c>
      <c r="B24" s="10">
        <f>B22/(B22+B23)</f>
        <v>0.35025100078703486</v>
      </c>
    </row>
    <row r="25" spans="1:2" x14ac:dyDescent="0.25">
      <c r="A25" t="s">
        <v>26</v>
      </c>
      <c r="B25" s="10">
        <f>1-B24</f>
        <v>0.6497489992129651</v>
      </c>
    </row>
    <row r="26" spans="1:2" x14ac:dyDescent="0.25">
      <c r="A26" t="s">
        <v>27</v>
      </c>
      <c r="B26" s="12">
        <f>B24*B20+B25*B21*(1-B8)</f>
        <v>0.04618765112574497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168088765000</v>
      </c>
      <c r="C29" s="8" t="s">
        <v>30</v>
      </c>
    </row>
    <row r="30" spans="1:2" x14ac:dyDescent="0.25">
      <c r="A30" t="s">
        <v>31</v>
      </c>
      <c r="B30" s="11">
        <v>144078872000</v>
      </c>
    </row>
    <row r="31" spans="1:2" x14ac:dyDescent="0.25">
      <c r="A31" t="s">
        <v>32</v>
      </c>
      <c r="B31" s="13">
        <v>10944883535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-0.023144477087485904</v>
      </c>
      <c r="C5" s="10">
        <f>Assumptions!B6</f>
        <v>-0.023144477087485904</v>
      </c>
      <c r="D5" s="10">
        <f>Assumptions!B6</f>
        <v>-0.023144477087485904</v>
      </c>
      <c r="E5" s="10">
        <f>Assumptions!B6</f>
        <v>-0.023144477087485904</v>
      </c>
      <c r="F5" s="10">
        <f>Assumptions!B6</f>
        <v>-0.023144477087485904</v>
      </c>
    </row>
    <row r="6" spans="1:6" x14ac:dyDescent="0.25">
      <c r="A6" t="s">
        <v>43</v>
      </c>
      <c r="B6" s="18">
        <f>Assumptions!B29*(1+B5)</f>
        <v>164198438429.7937</v>
      </c>
      <c r="C6" s="18">
        <f>B6*(1+C5)</f>
        <v>160398151433.75436</v>
      </c>
      <c r="D6" s="18">
        <f>C6*(1+D5)</f>
        <v>156685820093.02075</v>
      </c>
      <c r="E6" s="18">
        <f>D6*(1+E5)</f>
        <v>153059408719.9439</v>
      </c>
      <c r="F6" s="18">
        <f>E6*(1+F5)</f>
        <v>149516928741.80103</v>
      </c>
    </row>
    <row r="7" spans="1:6" x14ac:dyDescent="0.25">
      <c r="A7" t="s">
        <v>5</v>
      </c>
      <c r="B7" s="10">
        <f>Assumptions!B7</f>
        <v>0.1472575051798447</v>
      </c>
      <c r="C7" s="10">
        <f>Assumptions!B7</f>
        <v>0.1472575051798447</v>
      </c>
      <c r="D7" s="10">
        <f>Assumptions!B7</f>
        <v>0.1472575051798447</v>
      </c>
      <c r="E7" s="10">
        <f>Assumptions!B7</f>
        <v>0.1472575051798447</v>
      </c>
      <c r="F7" s="10">
        <f>Assumptions!B7</f>
        <v>0.1472575051798447</v>
      </c>
    </row>
    <row r="8" spans="1:6" x14ac:dyDescent="0.25">
      <c r="A8" t="s">
        <v>44</v>
      </c>
      <c r="B8" s="18">
        <f>B6*B7</f>
        <v>24179452397.59776</v>
      </c>
      <c r="C8" s="18">
        <f>C6*C7</f>
        <v>23619831615.593597</v>
      </c>
      <c r="D8" s="18">
        <f>D6*D7</f>
        <v>23073162963.95622</v>
      </c>
      <c r="E8" s="18">
        <f>E6*E7</f>
        <v>22539146672.401108</v>
      </c>
      <c r="F8" s="18">
        <f>F6*F7</f>
        <v>22017489908.670235</v>
      </c>
    </row>
    <row r="9" spans="1:6" x14ac:dyDescent="0.25">
      <c r="A9" t="s">
        <v>45</v>
      </c>
      <c r="B9" s="18">
        <f>B8*(1-Assumptions!B8)</f>
        <v>20189842751.99413</v>
      </c>
      <c r="C9" s="18">
        <f>C8*(1-Assumptions!B8)</f>
        <v>19722559399.020653</v>
      </c>
      <c r="D9" s="18">
        <f>D8*(1-Assumptions!B8)</f>
        <v>19266091074.903442</v>
      </c>
      <c r="E9" s="18">
        <f>E8*(1-Assumptions!B8)</f>
        <v>18820187471.454926</v>
      </c>
      <c r="F9" s="18">
        <f>F8*(1-Assumptions!B8)</f>
        <v>18384604073.739647</v>
      </c>
    </row>
    <row r="10" spans="1:6" x14ac:dyDescent="0.25">
      <c r="A10" t="s">
        <v>46</v>
      </c>
      <c r="B10" s="18">
        <f>B6*Assumptions!B9</f>
        <v>448320327.46486014</v>
      </c>
      <c r="C10" s="18">
        <f>C6*Assumptions!B9</f>
        <v>437944187.91799545</v>
      </c>
      <c r="D10" s="18">
        <f>D6*Assumptions!B9</f>
        <v>427808198.6951298</v>
      </c>
      <c r="E10" s="18">
        <f>E6*Assumptions!B9</f>
        <v>417906801.64259183</v>
      </c>
      <c r="F10" s="18">
        <f>F6*Assumptions!B9</f>
        <v>408234567.24727035</v>
      </c>
    </row>
    <row r="11" spans="1:6" x14ac:dyDescent="0.25">
      <c r="A11" t="s">
        <v>47</v>
      </c>
      <c r="B11" s="18">
        <f>-B6*Assumptions!B10</f>
        <v>-1641984384.2979372</v>
      </c>
      <c r="C11" s="18">
        <f>-C6*Assumptions!B10</f>
        <v>-1603981514.3375437</v>
      </c>
      <c r="D11" s="18">
        <f>-D6*Assumptions!B10</f>
        <v>-1566858200.9302075</v>
      </c>
      <c r="E11" s="18">
        <f>-E6*Assumptions!B10</f>
        <v>-1530594087.199439</v>
      </c>
      <c r="F11" s="18">
        <f>-F6*Assumptions!B10</f>
        <v>-1495169287.4180102</v>
      </c>
    </row>
    <row r="12" spans="1:6" x14ac:dyDescent="0.25">
      <c r="A12" t="s">
        <v>48</v>
      </c>
      <c r="B12" s="18">
        <f>-(B6-Assumptions!B29)*Assumptions!B11</f>
        <v>1136653675.1383514</v>
      </c>
      <c r="C12" s="18">
        <f>-(C6-B6)*Assumptions!B11</f>
        <v>1110346420.1977098</v>
      </c>
      <c r="D12" s="18">
        <f>-(D6-C6)*Assumptions!B11</f>
        <v>1084648032.9162655</v>
      </c>
      <c r="E12" s="18">
        <f>-(E6-D6)*Assumptions!B11</f>
        <v>1059544421.3704472</v>
      </c>
      <c r="F12" s="18">
        <f>-(F6-E6)*Assumptions!B11</f>
        <v>1035021819.7868698</v>
      </c>
    </row>
    <row r="13" spans="1:6" x14ac:dyDescent="0.25">
      <c r="A13" s="19" t="s">
        <v>49</v>
      </c>
      <c r="B13" s="20">
        <f>B9+B10+B11+B12</f>
        <v>20132832370.299404</v>
      </c>
      <c r="C13" s="20">
        <f>C9+C10+C11+C12</f>
        <v>19666868492.798813</v>
      </c>
      <c r="D13" s="20">
        <f>D9+D10+D11+D12</f>
        <v>19211689105.584633</v>
      </c>
      <c r="E13" s="20">
        <f>E9+E10+E11+E12</f>
        <v>18767044607.268524</v>
      </c>
      <c r="F13" s="20">
        <f>F9+F10+F11+F12</f>
        <v>18332691173.355774</v>
      </c>
    </row>
    <row r="14" spans="1:6" x14ac:dyDescent="0.25">
      <c r="A14" t="s">
        <v>50</v>
      </c>
      <c r="B14" s="21">
        <f>1/(1+Assumptions!$B$26)^(1-0.5*Assumptions!$B$32)</f>
        <v>0.9776765651083748</v>
      </c>
      <c r="C14" s="21">
        <f>1/(1+Assumptions!$B$26)^(2-0.5*Assumptions!$B$32)</f>
        <v>0.9345135779956403</v>
      </c>
      <c r="D14" s="21">
        <f>1/(1+Assumptions!$B$26)^(3-0.5*Assumptions!$B$32)</f>
        <v>0.8932561734886294</v>
      </c>
      <c r="E14" s="21">
        <f>1/(1+Assumptions!$B$26)^(4-0.5*Assumptions!$B$32)</f>
        <v>0.8538202229088113</v>
      </c>
      <c r="F14" s="21">
        <f>1/(1+Assumptions!$B$26)^(5-0.5*Assumptions!$B$32)</f>
        <v>0.816125311735483</v>
      </c>
    </row>
    <row r="15" spans="1:6" x14ac:dyDescent="0.25">
      <c r="A15" s="19" t="s">
        <v>51</v>
      </c>
      <c r="B15" s="20">
        <f>B13*B14</f>
        <v>19683398397.69702</v>
      </c>
      <c r="C15" s="20">
        <f>C13*C14</f>
        <v>18378955643.175144</v>
      </c>
      <c r="D15" s="20">
        <f>D13*D14</f>
        <v>17160959896.707718</v>
      </c>
      <c r="E15" s="20">
        <f>E13*E14</f>
        <v>16023682209.917616</v>
      </c>
      <c r="F15" s="20">
        <f>F13*F14</f>
        <v>14961773298.805319</v>
      </c>
    </row>
    <row r="17" spans="1:2" x14ac:dyDescent="0.25">
      <c r="A17" s="22" t="s">
        <v>52</v>
      </c>
      <c r="B17" s="23">
        <f>SUM(B15:F15)</f>
        <v>86208769446.30281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18332691173.355774</v>
      </c>
    </row>
    <row r="5" spans="1:2" x14ac:dyDescent="0.25">
      <c r="A5" t="s">
        <v>56</v>
      </c>
      <c r="B5" s="18">
        <f>IF(Assumptions!$B$33=0,B4,B4-Forecast!F11-Forecast!F10-Forecast!F12)</f>
        <v>18384604073.739647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0.5412702181355357</v>
      </c>
    </row>
    <row r="7" spans="1:2" x14ac:dyDescent="0.25">
      <c r="A7" t="s">
        <v>58</v>
      </c>
      <c r="B7" s="18">
        <f>-MAX(Forecast!F9,0)*B6</f>
        <v>-9951038657.328516</v>
      </c>
    </row>
    <row r="8" spans="1:2" x14ac:dyDescent="0.25">
      <c r="A8" t="s">
        <v>59</v>
      </c>
      <c r="B8" s="18">
        <f>IF(OR(Assumptions!$B$33=0,Assumptions!B12&lt;=0),B5,MAX(B5+B7,0))</f>
        <v>8433565416.411131</v>
      </c>
    </row>
    <row r="9" spans="1:2" x14ac:dyDescent="0.25">
      <c r="A9" t="s">
        <v>60</v>
      </c>
      <c r="B9" s="18">
        <f>B8*(1+Assumptions!B12)/(Assumptions!B26-Assumptions!B12)</f>
        <v>407992584950.4692</v>
      </c>
    </row>
    <row r="10" spans="1:2" x14ac:dyDescent="0.25">
      <c r="A10" t="s">
        <v>61</v>
      </c>
      <c r="B10" s="18">
        <f>B9/(1+Assumptions!B26)^(5-0.5*Assumptions!B32)</f>
        <v>332973075578.46716</v>
      </c>
    </row>
    <row r="11" spans="1:2" x14ac:dyDescent="0.25">
      <c r="A11" t="s">
        <v>62</v>
      </c>
      <c r="B11" s="18">
        <f>Forecast!B17+B10</f>
        <v>419181845024.76996</v>
      </c>
    </row>
    <row r="12" spans="1:2" x14ac:dyDescent="0.25">
      <c r="A12" t="s">
        <v>63</v>
      </c>
      <c r="B12" s="18">
        <f>-Assumptions!B30</f>
        <v>-144078872000</v>
      </c>
    </row>
    <row r="13" spans="1:2" x14ac:dyDescent="0.25">
      <c r="A13" t="s">
        <v>64</v>
      </c>
      <c r="B13" s="18">
        <f>B11+B12</f>
        <v>275102973024.76996</v>
      </c>
    </row>
    <row r="14" spans="1:2" x14ac:dyDescent="0.25">
      <c r="A14" s="19" t="s">
        <v>65</v>
      </c>
      <c r="B14" s="24">
        <f>B13/Assumptions!B31</f>
        <v>25.135303828956637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22425724475.917503</v>
      </c>
    </row>
    <row r="18" spans="1:2" x14ac:dyDescent="0.25">
      <c r="A18" t="s">
        <v>60</v>
      </c>
      <c r="B18" s="18">
        <f>B17*Assumptions!B13</f>
        <v>337822643085.834</v>
      </c>
    </row>
    <row r="19" spans="1:2" x14ac:dyDescent="0.25">
      <c r="A19" t="s">
        <v>61</v>
      </c>
      <c r="B19" s="18">
        <f>B18/(1+Assumptions!B26)^(5-0.5*Assumptions!B32)</f>
        <v>275705609899.7311</v>
      </c>
    </row>
    <row r="20" spans="1:2" x14ac:dyDescent="0.25">
      <c r="A20" t="s">
        <v>62</v>
      </c>
      <c r="B20" s="18">
        <f>Forecast!B17+B19</f>
        <v>361914379346.0339</v>
      </c>
    </row>
    <row r="21" spans="1:2" x14ac:dyDescent="0.25">
      <c r="A21" t="s">
        <v>63</v>
      </c>
      <c r="B21" s="18">
        <f>-Assumptions!B30</f>
        <v>-144078872000</v>
      </c>
    </row>
    <row r="22" spans="1:2" x14ac:dyDescent="0.25">
      <c r="A22" t="s">
        <v>64</v>
      </c>
      <c r="B22" s="18">
        <f>B20+B21</f>
        <v>217835507346.03387</v>
      </c>
    </row>
    <row r="23" spans="1:2" x14ac:dyDescent="0.25">
      <c r="A23" s="19" t="s">
        <v>65</v>
      </c>
      <c r="B23" s="25">
        <f>B22/Assumptions!B31</f>
        <v>19.902953434765248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12.2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29.428413722942434</v>
      </c>
    </row>
    <row r="29" spans="1:2" x14ac:dyDescent="0.25">
      <c r="A29" s="19" t="s">
        <v>73</v>
      </c>
      <c r="B29" s="12">
        <f>B28/B26-1</f>
        <v>1.4121650592575765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0.026188</v>
      </c>
      <c r="B5" s="31">
        <v>77.48321812171808</v>
      </c>
      <c r="C5" s="31">
        <v>112.54421809494153</v>
      </c>
      <c r="D5" s="31">
        <v>441.08442364987457</v>
      </c>
      <c r="E5" s="31" t="s">
        <v>76</v>
      </c>
      <c r="F5" s="31" t="s">
        <v>76</v>
      </c>
    </row>
    <row r="6" spans="1:6" x14ac:dyDescent="0.25">
      <c r="A6" s="30">
        <v>0.036188</v>
      </c>
      <c r="B6" s="31">
        <v>36.54627460391792</v>
      </c>
      <c r="C6" s="31">
        <v>37.87730548901252</v>
      </c>
      <c r="D6" s="31">
        <v>40.23060650488179</v>
      </c>
      <c r="E6" s="31">
        <v>46.084208026706754</v>
      </c>
      <c r="F6" s="31">
        <v>119.60191503520153</v>
      </c>
    </row>
    <row r="7" spans="1:6" x14ac:dyDescent="0.25">
      <c r="A7" s="30">
        <v>0.046188</v>
      </c>
      <c r="B7" s="31">
        <v>24.838217884611257</v>
      </c>
      <c r="C7" s="31">
        <v>24.98662003015127</v>
      </c>
      <c r="D7" s="32">
        <v>25.135022175691258</v>
      </c>
      <c r="E7" s="31">
        <v>25.28342432123126</v>
      </c>
      <c r="F7" s="31">
        <v>25.43182646677125</v>
      </c>
    </row>
    <row r="8" spans="1:6" x14ac:dyDescent="0.25">
      <c r="A8" s="30">
        <v>0.056188</v>
      </c>
      <c r="B8" s="31">
        <v>18.264480480992464</v>
      </c>
      <c r="C8" s="31">
        <v>18.381358821707455</v>
      </c>
      <c r="D8" s="31">
        <v>18.498237162422445</v>
      </c>
      <c r="E8" s="31">
        <v>18.615115503137442</v>
      </c>
      <c r="F8" s="31">
        <v>18.731993843852425</v>
      </c>
    </row>
    <row r="9" spans="1:6" x14ac:dyDescent="0.25">
      <c r="A9" s="30">
        <v>0.066188</v>
      </c>
      <c r="B9" s="31">
        <v>13.675915396737393</v>
      </c>
      <c r="C9" s="31">
        <v>13.771015683616172</v>
      </c>
      <c r="D9" s="31">
        <v>13.86611597049495</v>
      </c>
      <c r="E9" s="31">
        <v>13.96121625737373</v>
      </c>
      <c r="F9" s="31">
        <v>14.056316544252498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168088765000</v>
      </c>
      <c r="C5" s="18">
        <v>185154027000</v>
      </c>
      <c r="D5" s="18">
        <v>202524069000</v>
      </c>
      <c r="E5" s="18">
        <v>180321569000</v>
      </c>
      <c r="F5" s="8" t="s">
        <v>85</v>
      </c>
    </row>
    <row r="6" spans="1:6" x14ac:dyDescent="0.25">
      <c r="A6" t="s">
        <v>44</v>
      </c>
      <c r="B6" s="18">
        <v>17967964000</v>
      </c>
      <c r="C6" s="18">
        <v>25206134000</v>
      </c>
      <c r="D6" s="18">
        <v>34276904000</v>
      </c>
      <c r="E6" s="18">
        <v>31871794000</v>
      </c>
      <c r="F6" s="8" t="s">
        <v>86</v>
      </c>
    </row>
    <row r="7" spans="1:6" x14ac:dyDescent="0.25">
      <c r="A7" t="s">
        <v>87</v>
      </c>
      <c r="B7" s="18">
        <v>460421000</v>
      </c>
      <c r="C7" s="18">
        <v>459527000</v>
      </c>
      <c r="D7" s="18">
        <v>405104000</v>
      </c>
      <c r="E7" s="18">
        <v>667214000</v>
      </c>
      <c r="F7" s="8" t="s">
        <v>88</v>
      </c>
    </row>
    <row r="8" spans="1:6" x14ac:dyDescent="0.25">
      <c r="A8" t="s">
        <v>89</v>
      </c>
      <c r="B8" s="18">
        <v>226023000</v>
      </c>
      <c r="C8" s="18">
        <v>198035000</v>
      </c>
      <c r="D8" s="18">
        <v>204801000</v>
      </c>
      <c r="E8" s="18">
        <v>649192000</v>
      </c>
      <c r="F8" s="8" t="s">
        <v>90</v>
      </c>
    </row>
    <row r="9" spans="1:6" x14ac:dyDescent="0.25">
      <c r="A9" t="s">
        <v>91</v>
      </c>
      <c r="B9" s="18">
        <v>-4986032000</v>
      </c>
      <c r="C9" s="18">
        <v>-36304867000</v>
      </c>
      <c r="D9" s="18">
        <v>-15525737000</v>
      </c>
      <c r="E9" s="18">
        <v>22933057000</v>
      </c>
      <c r="F9" s="8" t="s">
        <v>92</v>
      </c>
    </row>
    <row r="10" spans="1:6" x14ac:dyDescent="0.25">
      <c r="A10" t="s">
        <v>93</v>
      </c>
      <c r="B10" s="18">
        <v>247706385000</v>
      </c>
      <c r="C10" s="18">
        <v>242547187000</v>
      </c>
      <c r="D10" s="18">
        <v>258718800000</v>
      </c>
      <c r="E10" s="18">
        <v>271542779000</v>
      </c>
      <c r="F10" s="8" t="s">
        <v>94</v>
      </c>
    </row>
    <row r="11" spans="1:6" x14ac:dyDescent="0.25">
      <c r="A11" t="s">
        <v>95</v>
      </c>
      <c r="B11" s="18">
        <v>103627513000</v>
      </c>
      <c r="C11" s="18">
        <v>124168228000</v>
      </c>
      <c r="D11" s="18">
        <v>105629033000</v>
      </c>
      <c r="E11" s="18">
        <v>110306115000</v>
      </c>
      <c r="F11" s="8" t="s">
        <v>96</v>
      </c>
    </row>
    <row r="12" spans="1:6" x14ac:dyDescent="0.25">
      <c r="A12" t="s">
        <v>32</v>
      </c>
      <c r="B12" s="34">
        <v>10944883535</v>
      </c>
      <c r="C12" s="34">
        <v>10944884000</v>
      </c>
      <c r="D12" s="34">
        <v>10944884000</v>
      </c>
      <c r="E12" s="34">
        <v>10944864000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54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2026-09-19T00:09:47Z</dcterms:modified>
</cp:coreProperties>
</file>