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<sst xmlns="http://schemas.openxmlformats.org/spreadsheetml/2006/main" count="113" uniqueCount="101">
  <si>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Tencent Holdings Limited (0700.HK)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</si>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</sst>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0.10674304478103402</v>
      </c>
    </row>
    <row r="7" spans="1:2" x14ac:dyDescent="0.25">
      <c r="A7" t="s">
        <v>5</v>
      </c>
      <c r="B7" s="6">
        <v>0.28115057746156924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0.09506191700978348</v>
      </c>
    </row>
    <row r="10" spans="1:2" x14ac:dyDescent="0.25">
      <c r="A10" t="s">
        <v>8</v>
      </c>
      <c r="B10" s="6">
        <v>0.11629069799452213</v>
      </c>
    </row>
    <row r="11" spans="1:2" x14ac:dyDescent="0.25">
      <c r="A11" t="s">
        <v>9</v>
      </c>
      <c r="B11" s="6">
        <v>-0.3531388281952885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10.635482157874172</v>
      </c>
    </row>
    <row r="14" spans="1:3" x14ac:dyDescent="0.25">
      <c r="A14" t="s">
        <v>12</v>
      </c>
      <c r="B14" s="6">
        <v>0.12619728845783354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0.8258</v>
      </c>
      <c r="C19" s="8" t="s">
        <v>19</v>
      </c>
    </row>
    <row r="20" spans="1:2" x14ac:dyDescent="0.25">
      <c r="A20" t="s">
        <v>20</v>
      </c>
      <c r="B20" s="10">
        <f>B17+B19*B18</f>
        <v>0.089806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3774749605888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0.089806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751766000000</v>
      </c>
      <c r="C29" s="8" t="s">
        <v>30</v>
      </c>
    </row>
    <row r="30" spans="1:2" x14ac:dyDescent="0.25">
      <c r="A30" t="s">
        <v>31</v>
      </c>
      <c r="B30" s="11">
        <v>-426753000000</v>
      </c>
    </row>
    <row r="31" spans="1:2" x14ac:dyDescent="0.25">
      <c r="A31" t="s">
        <v>32</v>
      </c>
      <c r="B31" s="13">
        <v>9244000000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0.10674304478103402</v>
      </c>
      <c r="C5" s="10">
        <f>Assumptions!B6</f>
        <v>0.10674304478103402</v>
      </c>
      <c r="D5" s="10">
        <f>Assumptions!B6</f>
        <v>0.10674304478103402</v>
      </c>
      <c r="E5" s="10">
        <f>Assumptions!B6</f>
        <v>0.10674304478103402</v>
      </c>
      <c r="F5" s="10">
        <f>Assumptions!B6</f>
        <v>0.10674304478103402</v>
      </c>
    </row>
    <row r="6" spans="1:6" x14ac:dyDescent="0.25">
      <c r="A6" t="s">
        <v>43</v>
      </c>
      <c r="B6" s="18">
        <f>Assumptions!B29*(1+B5)</f>
        <v>832011791802.8588</v>
      </c>
      <c r="C6" s="18">
        <f>B6*(1+C5)</f>
        <v>920823263753.6196</v>
      </c>
      <c r="D6" s="18">
        <f>C6*(1+D5)</f>
        <v>1019114742631.8901</v>
      </c>
      <c r="E6" s="18">
        <f>D6*(1+E5)</f>
        <v>1127898153241.658</v>
      </c>
      <c r="F6" s="18">
        <f>E6*(1+F5)</f>
        <v>1248293436321.578</v>
      </c>
    </row>
    <row r="7" spans="1:6" x14ac:dyDescent="0.25">
      <c r="A7" t="s">
        <v>5</v>
      </c>
      <c r="B7" s="10">
        <f>Assumptions!B7</f>
        <v>0.28115057746156924</v>
      </c>
      <c r="C7" s="10">
        <f>Assumptions!B7</f>
        <v>0.28115057746156924</v>
      </c>
      <c r="D7" s="10">
        <f>Assumptions!B7</f>
        <v>0.28115057746156924</v>
      </c>
      <c r="E7" s="10">
        <f>Assumptions!B7</f>
        <v>0.28115057746156924</v>
      </c>
      <c r="F7" s="10">
        <f>Assumptions!B7</f>
        <v>0.28115057746156924</v>
      </c>
    </row>
    <row r="8" spans="1:6" x14ac:dyDescent="0.25">
      <c r="A8" t="s">
        <v>44</v>
      </c>
      <c r="B8" s="18">
        <f>B6*B7</f>
        <v>233920595720.20865</v>
      </c>
      <c r="C8" s="18">
        <f>C6*C7</f>
        <v>258889992344.37704</v>
      </c>
      <c r="D8" s="18">
        <f>D6*D7</f>
        <v>286524698390.55444</v>
      </c>
      <c r="E8" s="18">
        <f>E6*E7</f>
        <v>317109217101.7297</v>
      </c>
      <c r="F8" s="18">
        <f>F6*F7</f>
        <v>350958420463.2982</v>
      </c>
    </row>
    <row r="9" spans="1:6" x14ac:dyDescent="0.25">
      <c r="A9" t="s">
        <v>45</v>
      </c>
      <c r="B9" s="18">
        <f>B8*(1-Assumptions!B8)</f>
        <v>195323697426.3742</v>
      </c>
      <c r="C9" s="18">
        <f>C8*(1-Assumptions!B8)</f>
        <v>216173143607.5548</v>
      </c>
      <c r="D9" s="18">
        <f>D8*(1-Assumptions!B8)</f>
        <v>239248123156.11295</v>
      </c>
      <c r="E9" s="18">
        <f>E8*(1-Assumptions!B8)</f>
        <v>264786196279.94427</v>
      </c>
      <c r="F9" s="18">
        <f>F8*(1-Assumptions!B8)</f>
        <v>293050281086.854</v>
      </c>
    </row>
    <row r="10" spans="1:6" x14ac:dyDescent="0.25">
      <c r="A10" t="s">
        <v>46</v>
      </c>
      <c r="B10" s="18">
        <f>B6*Assumptions!B9</f>
        <v>79092635903.52461</v>
      </c>
      <c r="C10" s="18">
        <f>C6*Assumptions!B9</f>
        <v>87535224679.62454</v>
      </c>
      <c r="D10" s="18">
        <f>D6*Assumptions!B9</f>
        <v>96879001087.51959</v>
      </c>
      <c r="E10" s="18">
        <f>E6*Assumptions!B9</f>
        <v>107220160638.94653</v>
      </c>
      <c r="F10" s="18">
        <f>F6*Assumptions!B9</f>
        <v>118665167047.45927</v>
      </c>
    </row>
    <row r="11" spans="1:6" x14ac:dyDescent="0.25">
      <c r="A11" t="s">
        <v>47</v>
      </c>
      <c r="B11" s="18">
        <f>-B6*Assumptions!B10</f>
        <v>-96755232008.42747</v>
      </c>
      <c r="C11" s="18">
        <f>-C6*Assumptions!B10</f>
        <v>-107083180071.50238</v>
      </c>
      <c r="D11" s="18">
        <f>-D6*Assumptions!B10</f>
        <v>-118513564757.17029</v>
      </c>
      <c r="E11" s="18">
        <f>-E6*Assumptions!B10</f>
        <v>-131164063507.20488</v>
      </c>
      <c r="F11" s="18">
        <f>-F6*Assumptions!B10</f>
        <v>-145164915011.81686</v>
      </c>
    </row>
    <row r="12" spans="1:6" x14ac:dyDescent="0.25">
      <c r="A12" t="s">
        <v>48</v>
      </c>
      <c r="B12" s="18">
        <f>-(B6-Assumptions!B29)*Assumptions!B11</f>
        <v>28337904884.86463</v>
      </c>
      <c r="C12" s="18">
        <f>-(C6-B6)*Assumptions!B11</f>
        <v>31362779134.990425</v>
      </c>
      <c r="D12" s="18">
        <f>-(D6-C6)*Assumptions!B11</f>
        <v>34710537672.654396</v>
      </c>
      <c r="E12" s="18">
        <f>-(E6-D6)*Assumptions!B11</f>
        <v>38415646149.82033</v>
      </c>
      <c r="F12" s="18">
        <f>-(F6-E6)*Assumptions!B11</f>
        <v>42516249187.08297</v>
      </c>
    </row>
    <row r="13" spans="1:6" x14ac:dyDescent="0.25">
      <c r="A13" s="19" t="s">
        <v>49</v>
      </c>
      <c r="B13" s="20">
        <f>B9+B10+B11+B12</f>
        <v>205999006206.33594</v>
      </c>
      <c r="C13" s="20">
        <f>C9+C10+C11+C12</f>
        <v>227987967350.66736</v>
      </c>
      <c r="D13" s="20">
        <f>D9+D10+D11+D12</f>
        <v>252324097159.11667</v>
      </c>
      <c r="E13" s="20">
        <f>E9+E10+E11+E12</f>
        <v>279257939561.5062</v>
      </c>
      <c r="F13" s="20">
        <f>F9+F10+F11+F12</f>
        <v>309066782309.5794</v>
      </c>
    </row>
    <row r="14" spans="1:6" x14ac:dyDescent="0.25">
      <c r="A14" t="s">
        <v>50</v>
      </c>
      <c r="B14" s="21">
        <f>1/(1+Assumptions!$B$26)^(1-0.5*Assumptions!$B$32)</f>
        <v>0.9579115343528938</v>
      </c>
      <c r="C14" s="21">
        <f>1/(1+Assumptions!$B$26)^(2-0.5*Assumptions!$B$32)</f>
        <v>0.8789743627332696</v>
      </c>
      <c r="D14" s="21">
        <f>1/(1+Assumptions!$B$26)^(3-0.5*Assumptions!$B$32)</f>
        <v>0.8065420476059679</v>
      </c>
      <c r="E14" s="21">
        <f>1/(1+Assumptions!$B$26)^(4-0.5*Assumptions!$B$32)</f>
        <v>0.7400785530690489</v>
      </c>
      <c r="F14" s="21">
        <f>1/(1+Assumptions!$B$26)^(5-0.5*Assumptions!$B$32)</f>
        <v>0.6790920155229911</v>
      </c>
    </row>
    <row r="15" spans="1:6" x14ac:dyDescent="0.25">
      <c r="A15" s="19" t="s">
        <v>51</v>
      </c>
      <c r="B15" s="20">
        <f>B13*B14</f>
        <v>197328824110.28253</v>
      </c>
      <c r="C15" s="20">
        <f>C13*C14</f>
        <v>200395578312.9063</v>
      </c>
      <c r="D15" s="20">
        <f>D13*D14</f>
        <v>203509993983.04114</v>
      </c>
      <c r="E15" s="20">
        <f>E13*E14</f>
        <v>206672811843.72345</v>
      </c>
      <c r="F15" s="20">
        <f>F13*F14</f>
        <v>209884784129.8178</v>
      </c>
    </row>
    <row r="17" spans="1:2" x14ac:dyDescent="0.25">
      <c r="A17" s="22" t="s">
        <v>52</v>
      </c>
      <c r="B17" s="23">
        <f>SUM(B15:F15)</f>
        <v>1017791992379.7712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309066782309.5794</v>
      </c>
    </row>
    <row r="5" spans="1:2" x14ac:dyDescent="0.25">
      <c r="A5" t="s">
        <v>56</v>
      </c>
      <c r="B5" s="18">
        <f>IF(Assumptions!$B$33=0,B4,B4-Forecast!F11-Forecast!F10-Forecast!F12)</f>
        <v>345358801555.3165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0.19810251318001404</v>
      </c>
    </row>
    <row r="7" spans="1:2" x14ac:dyDescent="0.25">
      <c r="A7" t="s">
        <v>58</v>
      </c>
      <c r="B7" s="18">
        <f>-MAX(Forecast!F9,0)*B6</f>
        <v>-68416446536.945946</v>
      </c>
    </row>
    <row r="8" spans="1:2" x14ac:dyDescent="0.25">
      <c r="A8" t="s">
        <v>59</v>
      </c>
      <c r="B8" s="18">
        <f>IF(OR(Assumptions!$B$33=0,Assumptions!B12&lt;=0),B5,MAX(B5+B7,0))</f>
        <v>276942355018.3706</v>
      </c>
    </row>
    <row r="9" spans="1:2" x14ac:dyDescent="0.25">
      <c r="A9" t="s">
        <v>60</v>
      </c>
      <c r="B9" s="18">
        <f>B8*(1+Assumptions!B12)/(Assumptions!B26-Assumptions!B12)</f>
        <v>4380241241456.498</v>
      </c>
    </row>
    <row r="10" spans="1:2" x14ac:dyDescent="0.25">
      <c r="A10" t="s">
        <v>61</v>
      </c>
      <c r="B10" s="18">
        <f>B9/(1+Assumptions!B26)^(5-0.5*Assumptions!B32)</f>
        <v>2974586853137.622</v>
      </c>
    </row>
    <row r="11" spans="1:2" x14ac:dyDescent="0.25">
      <c r="A11" t="s">
        <v>62</v>
      </c>
      <c r="B11" s="18">
        <f>Forecast!B17+B10</f>
        <v>3992378845517.3936</v>
      </c>
    </row>
    <row r="12" spans="1:2" x14ac:dyDescent="0.25">
      <c r="A12" t="s">
        <v>63</v>
      </c>
      <c r="B12" s="18">
        <f>-Assumptions!B30</f>
        <v>426753000000</v>
      </c>
    </row>
    <row r="13" spans="1:2" x14ac:dyDescent="0.25">
      <c r="A13" t="s">
        <v>64</v>
      </c>
      <c r="B13" s="18">
        <f>B11+B12</f>
        <v>4419131845517.394</v>
      </c>
    </row>
    <row r="14" spans="1:2" x14ac:dyDescent="0.25">
      <c r="A14" s="19" t="s">
        <v>65</v>
      </c>
      <c r="B14" s="24">
        <f>B13/Assumptions!B31</f>
        <v>478.05407242723857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469623587510.7575</v>
      </c>
    </row>
    <row r="18" spans="1:2" x14ac:dyDescent="0.25">
      <c r="A18" t="s">
        <v>60</v>
      </c>
      <c r="B18" s="18">
        <f>B17*Assumptions!B13</f>
        <v>4994673285887.521</v>
      </c>
    </row>
    <row r="19" spans="1:2" x14ac:dyDescent="0.25">
      <c r="A19" t="s">
        <v>61</v>
      </c>
      <c r="B19" s="18">
        <f>B18/(1+Assumptions!B26)^(5-0.5*Assumptions!B32)</f>
        <v>3391842748592.1978</v>
      </c>
    </row>
    <row r="20" spans="1:2" x14ac:dyDescent="0.25">
      <c r="A20" t="s">
        <v>62</v>
      </c>
      <c r="B20" s="18">
        <f>Forecast!B17+B19</f>
        <v>4409634740971.969</v>
      </c>
    </row>
    <row r="21" spans="1:2" x14ac:dyDescent="0.25">
      <c r="A21" t="s">
        <v>63</v>
      </c>
      <c r="B21" s="18">
        <f>-Assumptions!B30</f>
        <v>426753000000</v>
      </c>
    </row>
    <row r="22" spans="1:2" x14ac:dyDescent="0.25">
      <c r="A22" t="s">
        <v>64</v>
      </c>
      <c r="B22" s="18">
        <f>B20+B21</f>
        <v>4836387740971.969</v>
      </c>
    </row>
    <row r="23" spans="1:2" x14ac:dyDescent="0.25">
      <c r="A23" s="19" t="s">
        <v>65</v>
      </c>
      <c r="B23" s="25">
        <f>B22/Assumptions!B31</f>
        <v>523.1920966001697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419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559.7057079978109</v>
      </c>
    </row>
    <row r="29" spans="1:2" x14ac:dyDescent="0.25">
      <c r="A29" s="19" t="s">
        <v>73</v>
      </c>
      <c r="B29" s="12">
        <f>B28/B26-1</f>
        <v>0.33581314557950104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0.069806</v>
      </c>
      <c r="B5" s="31">
        <v>611.5999907140763</v>
      </c>
      <c r="C5" s="31">
        <v>636.8396956707903</v>
      </c>
      <c r="D5" s="31">
        <v>667.4686594648861</v>
      </c>
      <c r="E5" s="31">
        <v>705.5177036448916</v>
      </c>
      <c r="F5" s="31">
        <v>754.1845873841869</v>
      </c>
    </row>
    <row r="6" spans="1:6" x14ac:dyDescent="0.25">
      <c r="A6" s="30">
        <v>0.079806</v>
      </c>
      <c r="B6" s="31">
        <v>523.8406596080431</v>
      </c>
      <c r="C6" s="31">
        <v>538.4308919930843</v>
      </c>
      <c r="D6" s="31">
        <v>555.4921022190404</v>
      </c>
      <c r="E6" s="31">
        <v>575.7684710595878</v>
      </c>
      <c r="F6" s="31">
        <v>600.3363583598114</v>
      </c>
    </row>
    <row r="7" spans="1:6" x14ac:dyDescent="0.25">
      <c r="A7" s="30">
        <v>0.089806</v>
      </c>
      <c r="B7" s="31">
        <v>459.59673685630196</v>
      </c>
      <c r="C7" s="31">
        <v>468.23638276409105</v>
      </c>
      <c r="D7" s="32">
        <v>478.05407242723857</v>
      </c>
      <c r="E7" s="31">
        <v>489.3452721255557</v>
      </c>
      <c r="F7" s="31">
        <v>502.51327074214873</v>
      </c>
    </row>
    <row r="8" spans="1:6" x14ac:dyDescent="0.25">
      <c r="A8" s="30">
        <v>0.099806</v>
      </c>
      <c r="B8" s="31">
        <v>410.5476108088195</v>
      </c>
      <c r="C8" s="31">
        <v>415.6497007759909</v>
      </c>
      <c r="D8" s="31">
        <v>421.30486865383733</v>
      </c>
      <c r="E8" s="31">
        <v>427.63196051089335</v>
      </c>
      <c r="F8" s="31">
        <v>434.78649990497985</v>
      </c>
    </row>
    <row r="9" spans="1:6" x14ac:dyDescent="0.25">
      <c r="A9" s="30">
        <v>0.109806</v>
      </c>
      <c r="B9" s="31">
        <v>371.88334947272574</v>
      </c>
      <c r="C9" s="31">
        <v>374.78854264749367</v>
      </c>
      <c r="D9" s="31">
        <v>377.92708763024103</v>
      </c>
      <c r="E9" s="31">
        <v>381.34284424503744</v>
      </c>
      <c r="F9" s="31">
        <v>385.0913986010283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751766000000</v>
      </c>
      <c r="C5" s="18">
        <v>660257000000</v>
      </c>
      <c r="D5" s="18">
        <v>609015000000</v>
      </c>
      <c r="E5" s="18">
        <v>554552000000</v>
      </c>
      <c r="F5" s="8" t="s">
        <v>84</v>
      </c>
    </row>
    <row r="6" spans="1:6" x14ac:dyDescent="0.25">
      <c r="A6" t="s">
        <v>44</v>
      </c>
      <c r="B6" s="18">
        <v>248767000000</v>
      </c>
      <c r="C6" s="18">
        <v>208786000000</v>
      </c>
      <c r="D6" s="18">
        <v>165658000000</v>
      </c>
      <c r="E6" s="18">
        <v>113940000000</v>
      </c>
      <c r="F6" s="8" t="s">
        <v>85</v>
      </c>
    </row>
    <row r="7" spans="1:6" x14ac:dyDescent="0.25">
      <c r="A7" t="s">
        <v>86</v>
      </c>
      <c r="B7" s="18">
        <v>66028000000</v>
      </c>
      <c r="C7" s="18">
        <v>56213000000</v>
      </c>
      <c r="D7" s="18">
        <v>59008000000</v>
      </c>
      <c r="E7" s="18">
        <v>61216000000</v>
      </c>
      <c r="F7" s="8" t="s">
        <v>87</v>
      </c>
    </row>
    <row r="8" spans="1:6" x14ac:dyDescent="0.25">
      <c r="A8" t="s">
        <v>88</v>
      </c>
      <c r="B8" s="18">
        <v>112881000000</v>
      </c>
      <c r="C8" s="18">
        <v>96048000000</v>
      </c>
      <c r="D8" s="18">
        <v>47407000000</v>
      </c>
      <c r="E8" s="18">
        <v>50850000000</v>
      </c>
      <c r="F8" s="8" t="s">
        <v>89</v>
      </c>
    </row>
    <row r="9" spans="1:6" x14ac:dyDescent="0.25">
      <c r="A9" t="s">
        <v>90</v>
      </c>
      <c r="B9" s="18">
        <v>-16484000000</v>
      </c>
      <c r="C9" s="18">
        <v>-21881000000</v>
      </c>
      <c r="D9" s="18">
        <v>-19233000000</v>
      </c>
      <c r="E9" s="18">
        <v>18472000000</v>
      </c>
      <c r="F9" s="8" t="s">
        <v>91</v>
      </c>
    </row>
    <row r="10" spans="1:6" x14ac:dyDescent="0.25">
      <c r="A10" t="s">
        <v>92</v>
      </c>
      <c r="B10" s="18">
        <v>0</v>
      </c>
      <c r="C10" s="18">
        <v>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426753000000</v>
      </c>
      <c r="C11" s="18">
        <v>343159000000</v>
      </c>
      <c r="D11" s="18">
        <v>379155000000</v>
      </c>
      <c r="E11" s="18">
        <v>290756000000</v>
      </c>
      <c r="F11" s="8" t="s">
        <v>95</v>
      </c>
    </row>
    <row r="12" spans="1:6" x14ac:dyDescent="0.25">
      <c r="A12" t="s">
        <v>32</v>
      </c>
      <c r="B12" s="34">
        <v>9244000000</v>
      </c>
      <c r="C12" s="34">
        <v>9408000000</v>
      </c>
      <c r="D12" s="34">
        <v>9610000000</v>
      </c>
      <c r="E12" s="34">
        <v>9695000000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2026-09-19T00:10:16Z</dcterms:modified>
</cp:coreProperties>
</file>