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<sst xmlns="http://schemas.openxmlformats.org/spreadsheetml/2006/main" count="114" uniqueCount="102">
  <si>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China Unicom (Hong Kong) Limited (0762.HK)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</si>
  <si>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</si>
  <si>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</si>
  <si>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</si>
  <si>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</si>
  <si>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</si>
  <si>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</si>
  <si>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</si>
  <si>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</si>
  <si>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</si>
  <si>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</si>
  <si>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</si>
  <si>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</si>
  <si>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</si>
  <si>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</si>
  <si>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</si>
  <si>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</si>
  <si>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</si>
  <si>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</si>
  <si>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</si>
  <si>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</si>
  <si>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</si>
  <si>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</si>
  <si>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</si>
  <si>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</si>
  <si>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</si>
  <si>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</si>
  <si>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</si>
  <si>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</si>
  <si>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</si>
  <si>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</si>
  <si>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</si>
  <si>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</si>
  <si>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</si>
  <si>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</si>
  <si>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</si>
  <si>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</si>
  <si>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</si>
  <si>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</si>
  <si>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</si>
  <si>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</si>
  <si>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</si>
  <si>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</si>
  <si>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</si>
  <si>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</si>
  <si>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</si>
  <si>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</si>
  <si>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</si>
  <si>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</si>
  <si>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</si>
  <si>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</si>
  <si>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</si>
  <si>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</si>
  <si>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</si>
  <si>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</si>
  <si>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</si>
  <si>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</si>
  <si>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</si>
  <si>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</si>
  <si>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</si>
  <si>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</si>
  <si>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</si>
  <si>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</si>
  <si>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</si>
  <si>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</si>
  <si>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</si>
  <si>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</si>
  <si>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</si>
  <si>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</si>
  <si>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</si>
  <si>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</si>
  <si>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</si>
  <si>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</si>
  <si>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</si>
  <si>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</si>
  <si>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</si>
  <si>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</si>
  <si>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</si>
  <si>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</si>
  <si>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</si>
  <si>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</si>
  <si>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</si>
  <si>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</si>
  <si>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</si>
  <si>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</si>
  <si>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</si>
  <si>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</si>
  <si>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</si>
  <si>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</si>
  <si>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</si>
  <si>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</si>
  <si>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</si>
  <si>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</si>
  <si>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</si>
  <si>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</si>
  <si>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</si>
  <si>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</si>
  <si>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</si>
  <si>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</si>
  <si>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</si>
  <si>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Current EV/EBITDA of 1.4x sits outside a defensible 3-20x band, so the exit multiple is capped at 3.0x.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</si>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</sst>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0.03385049329985512</v>
      </c>
    </row>
    <row r="7" spans="1:2" x14ac:dyDescent="0.25">
      <c r="A7" t="s">
        <v>5</v>
      </c>
      <c r="B7" s="6">
        <v>0.0628139887728407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0.22312017907884435</v>
      </c>
    </row>
    <row r="10" spans="1:2" x14ac:dyDescent="0.25">
      <c r="A10" t="s">
        <v>8</v>
      </c>
      <c r="B10" s="6">
        <v>0.19601757468880937</v>
      </c>
    </row>
    <row r="11" spans="1:2" x14ac:dyDescent="0.25">
      <c r="A11" t="s">
        <v>9</v>
      </c>
      <c r="B11" s="6">
        <v>0.8206214689265536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0.0712039875822918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0.67706</v>
      </c>
      <c r="C19" s="8" t="s">
        <v>19</v>
      </c>
    </row>
    <row r="20" spans="1:2" x14ac:dyDescent="0.25">
      <c r="A20" t="s">
        <v>20</v>
      </c>
      <c r="B20" s="10">
        <f>B17+B19*B18</f>
        <v>0.0793942</v>
      </c>
    </row>
    <row r="21" spans="1:3" x14ac:dyDescent="0.25">
      <c r="A21" t="s">
        <v>21</v>
      </c>
      <c r="B21" s="6">
        <v>0.03482349191170611</v>
      </c>
      <c r="C21" s="8" t="s">
        <v>22</v>
      </c>
    </row>
    <row r="22" spans="1:2" x14ac:dyDescent="0.25">
      <c r="A22" t="s">
        <v>23</v>
      </c>
      <c r="B22" s="11">
        <v>175326543872</v>
      </c>
    </row>
    <row r="23" spans="1:2" x14ac:dyDescent="0.25">
      <c r="A23" t="s">
        <v>24</v>
      </c>
      <c r="B23" s="11">
        <v>34087000000</v>
      </c>
    </row>
    <row r="24" spans="1:2" x14ac:dyDescent="0.25">
      <c r="A24" t="s">
        <v>25</v>
      </c>
      <c r="B24" s="10">
        <f>B22/(B22+B23)</f>
        <v>0.8372263829275769</v>
      </c>
    </row>
    <row r="25" spans="1:2" x14ac:dyDescent="0.25">
      <c r="A25" t="s">
        <v>26</v>
      </c>
      <c r="B25" s="10">
        <f>1-B24</f>
        <v>0.1627736170724231</v>
      </c>
    </row>
    <row r="26" spans="1:2" x14ac:dyDescent="0.25">
      <c r="A26" t="s">
        <v>27</v>
      </c>
      <c r="B26" s="12">
        <f>B24*B20+B25*B21*(1-B8)</f>
        <v>0.0712039875822918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392223000000</v>
      </c>
      <c r="C29" s="8" t="s">
        <v>30</v>
      </c>
    </row>
    <row r="30" spans="1:2" x14ac:dyDescent="0.25">
      <c r="A30" t="s">
        <v>31</v>
      </c>
      <c r="B30" s="11">
        <v>-33844000000</v>
      </c>
    </row>
    <row r="31" spans="1:2" x14ac:dyDescent="0.25">
      <c r="A31" t="s">
        <v>32</v>
      </c>
      <c r="B31" s="13">
        <v>30598000000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0.03385049329985512</v>
      </c>
      <c r="C5" s="10">
        <f>Assumptions!B6</f>
        <v>0.03385049329985512</v>
      </c>
      <c r="D5" s="10">
        <f>Assumptions!B6</f>
        <v>0.03385049329985512</v>
      </c>
      <c r="E5" s="10">
        <f>Assumptions!B6</f>
        <v>0.03385049329985512</v>
      </c>
      <c r="F5" s="10">
        <f>Assumptions!B6</f>
        <v>0.03385049329985512</v>
      </c>
    </row>
    <row r="6" spans="1:6" x14ac:dyDescent="0.25">
      <c r="A6" t="s">
        <v>43</v>
      </c>
      <c r="B6" s="18">
        <f>Assumptions!B29*(1+B5)</f>
        <v>405499942033.5491</v>
      </c>
      <c r="C6" s="18">
        <f>B6*(1+C5)</f>
        <v>419226315104.4474</v>
      </c>
      <c r="D6" s="18">
        <f>C6*(1+D5)</f>
        <v>433417332675.0134</v>
      </c>
      <c r="E6" s="18">
        <f>D6*(1+E5)</f>
        <v>448088723190.77</v>
      </c>
      <c r="F6" s="18">
        <f>E6*(1+F5)</f>
        <v>463256747512.8798</v>
      </c>
    </row>
    <row r="7" spans="1:6" x14ac:dyDescent="0.25">
      <c r="A7" t="s">
        <v>5</v>
      </c>
      <c r="B7" s="10">
        <f>Assumptions!B7</f>
        <v>0.0628139887728407</v>
      </c>
      <c r="C7" s="10">
        <f>Assumptions!B7</f>
        <v>0.0628139887728407</v>
      </c>
      <c r="D7" s="10">
        <f>Assumptions!B7</f>
        <v>0.0628139887728407</v>
      </c>
      <c r="E7" s="10">
        <f>Assumptions!B7</f>
        <v>0.0628139887728407</v>
      </c>
      <c r="F7" s="10">
        <f>Assumptions!B7</f>
        <v>0.0628139887728407</v>
      </c>
    </row>
    <row r="8" spans="1:6" x14ac:dyDescent="0.25">
      <c r="A8" t="s">
        <v>44</v>
      </c>
      <c r="B8" s="18">
        <f>B6*B7</f>
        <v>25471068806.282906</v>
      </c>
      <c r="C8" s="18">
        <f>C6*C7</f>
        <v>26333277050.250134</v>
      </c>
      <c r="D8" s="18">
        <f>D6*D7</f>
        <v>27224671468.602856</v>
      </c>
      <c r="E8" s="18">
        <f>E6*E7</f>
        <v>28146240027.74155</v>
      </c>
      <c r="F8" s="18">
        <f>F6*F7</f>
        <v>29099004137.21673</v>
      </c>
    </row>
    <row r="9" spans="1:6" x14ac:dyDescent="0.25">
      <c r="A9" t="s">
        <v>45</v>
      </c>
      <c r="B9" s="18">
        <f>B8*(1-Assumptions!B8)</f>
        <v>21268342453.246223</v>
      </c>
      <c r="C9" s="18">
        <f>C8*(1-Assumptions!B8)</f>
        <v>21988286336.958862</v>
      </c>
      <c r="D9" s="18">
        <f>D8*(1-Assumptions!B8)</f>
        <v>22732600676.283382</v>
      </c>
      <c r="E9" s="18">
        <f>E8*(1-Assumptions!B8)</f>
        <v>23502110423.164192</v>
      </c>
      <c r="F9" s="18">
        <f>F8*(1-Assumptions!B8)</f>
        <v>24297668454.575966</v>
      </c>
    </row>
    <row r="10" spans="1:6" x14ac:dyDescent="0.25">
      <c r="A10" t="s">
        <v>46</v>
      </c>
      <c r="B10" s="18">
        <f>B6*Assumptions!B9</f>
        <v>90475219682.98647</v>
      </c>
      <c r="C10" s="18">
        <f>C6*Assumptions!B9</f>
        <v>93537850500.66833</v>
      </c>
      <c r="D10" s="18">
        <f>D6*Assumptions!B9</f>
        <v>96704152882.32405</v>
      </c>
      <c r="E10" s="18">
        <f>E6*Assumptions!B9</f>
        <v>99977636161.53532</v>
      </c>
      <c r="F10" s="18">
        <f>F6*Assumptions!B9</f>
        <v>103361928464.55673</v>
      </c>
    </row>
    <row r="11" spans="1:6" x14ac:dyDescent="0.25">
      <c r="A11" t="s">
        <v>47</v>
      </c>
      <c r="B11" s="18">
        <f>-B6*Assumptions!B10</f>
        <v>-79485115173.86908</v>
      </c>
      <c r="C11" s="18">
        <f>-C6*Assumptions!B10</f>
        <v>-82175725532.50035</v>
      </c>
      <c r="D11" s="18">
        <f>-D6*Assumptions!B10</f>
        <v>-84957414379.04898</v>
      </c>
      <c r="E11" s="18">
        <f>-E6*Assumptions!B10</f>
        <v>-87833264765.26</v>
      </c>
      <c r="F11" s="18">
        <f>-F6*Assumptions!B10</f>
        <v>-90806464105.70082</v>
      </c>
    </row>
    <row r="12" spans="1:6" x14ac:dyDescent="0.25">
      <c r="A12" t="s">
        <v>48</v>
      </c>
      <c r="B12" s="18">
        <f>-(B6-Assumptions!B29)*Assumptions!B11</f>
        <v>-10895343674.423744</v>
      </c>
      <c r="C12" s="18">
        <f>-(C6-B6)*Assumptions!B11</f>
        <v>-11264156432.474464</v>
      </c>
      <c r="D12" s="18">
        <f>-(D6-C6)*Assumptions!B11</f>
        <v>-11645453684.320436</v>
      </c>
      <c r="E12" s="18">
        <f>-(E6-D6)*Assumptions!B11</f>
        <v>-12039658036.235281</v>
      </c>
      <c r="F12" s="18">
        <f>-(F6-E6)*Assumptions!B11</f>
        <v>-12447206399.923439</v>
      </c>
    </row>
    <row r="13" spans="1:6" x14ac:dyDescent="0.25">
      <c r="A13" s="19" t="s">
        <v>49</v>
      </c>
      <c r="B13" s="20">
        <f>B9+B10+B11+B12</f>
        <v>21363103287.939873</v>
      </c>
      <c r="C13" s="20">
        <f>C9+C10+C11+C12</f>
        <v>22086254872.65238</v>
      </c>
      <c r="D13" s="20">
        <f>D9+D10+D11+D12</f>
        <v>22833885495.23802</v>
      </c>
      <c r="E13" s="20">
        <f>E9+E10+E11+E12</f>
        <v>23606823783.204247</v>
      </c>
      <c r="F13" s="20">
        <f>F9+F10+F11+F12</f>
        <v>24405926413.50843</v>
      </c>
    </row>
    <row r="14" spans="1:6" x14ac:dyDescent="0.25">
      <c r="A14" t="s">
        <v>50</v>
      </c>
      <c r="B14" s="21">
        <f>1/(1+Assumptions!$B$26)^(1-0.5*Assumptions!$B$32)</f>
        <v>0.9661930510170754</v>
      </c>
      <c r="C14" s="21">
        <f>1/(1+Assumptions!$B$26)^(2-0.5*Assumptions!$B$32)</f>
        <v>0.9019692441565439</v>
      </c>
      <c r="D14" s="21">
        <f>1/(1+Assumptions!$B$26)^(3-0.5*Assumptions!$B$32)</f>
        <v>0.8420144572018343</v>
      </c>
      <c r="E14" s="21">
        <f>1/(1+Assumptions!$B$26)^(4-0.5*Assumptions!$B$32)</f>
        <v>0.786044924181305</v>
      </c>
      <c r="F14" s="21">
        <f>1/(1+Assumptions!$B$26)^(5-0.5*Assumptions!$B$32)</f>
        <v>0.7337957413278576</v>
      </c>
    </row>
    <row r="15" spans="1:6" x14ac:dyDescent="0.25">
      <c r="A15" s="19" t="s">
        <v>51</v>
      </c>
      <c r="B15" s="20">
        <f>B13*B14</f>
        <v>20640881944.96754</v>
      </c>
      <c r="C15" s="20">
        <f>C13*C14</f>
        <v>19921122613.735054</v>
      </c>
      <c r="D15" s="20">
        <f>D13*D14</f>
        <v>19226461701.08168</v>
      </c>
      <c r="E15" s="20">
        <f>E13*E14</f>
        <v>18556024010.830208</v>
      </c>
      <c r="F15" s="20">
        <f>F13*F14</f>
        <v>17908964865.39356</v>
      </c>
    </row>
    <row r="17" spans="1:2" x14ac:dyDescent="0.25">
      <c r="A17" s="22" t="s">
        <v>52</v>
      </c>
      <c r="B17" s="23">
        <f>SUM(B15:F15)</f>
        <v>96253455136.00803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24405926413.50843</v>
      </c>
    </row>
    <row r="5" spans="1:2" x14ac:dyDescent="0.25">
      <c r="A5" t="s">
        <v>56</v>
      </c>
      <c r="B5" s="18">
        <f>IF(Assumptions!$B$33=0,B4,B4-Forecast!F11-Forecast!F10-Forecast!F12)</f>
        <v>24297668454.575966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0.3511039318002665</v>
      </c>
    </row>
    <row r="7" spans="1:2" x14ac:dyDescent="0.25">
      <c r="A7" t="s">
        <v>58</v>
      </c>
      <c r="B7" s="18">
        <f>-MAX(Forecast!F9,0)*B6</f>
        <v>-8531006927.9809265</v>
      </c>
    </row>
    <row r="8" spans="1:2" x14ac:dyDescent="0.25">
      <c r="A8" t="s">
        <v>59</v>
      </c>
      <c r="B8" s="18">
        <f>IF(OR(Assumptions!$B$33=0,Assumptions!B12&lt;=0),B5,MAX(B5+B7,0))</f>
        <v>15766661526.59504</v>
      </c>
    </row>
    <row r="9" spans="1:2" x14ac:dyDescent="0.25">
      <c r="A9" t="s">
        <v>60</v>
      </c>
      <c r="B9" s="18">
        <f>B8*(1+Assumptions!B12)/(Assumptions!B26-Assumptions!B12)</f>
        <v>349771284047.21796</v>
      </c>
    </row>
    <row r="10" spans="1:2" x14ac:dyDescent="0.25">
      <c r="A10" t="s">
        <v>61</v>
      </c>
      <c r="B10" s="18">
        <f>B9/(1+Assumptions!B26)^(5-0.5*Assumptions!B32)</f>
        <v>256660678672.62497</v>
      </c>
    </row>
    <row r="11" spans="1:2" x14ac:dyDescent="0.25">
      <c r="A11" t="s">
        <v>62</v>
      </c>
      <c r="B11" s="18">
        <f>Forecast!B17+B10</f>
        <v>352914133808.633</v>
      </c>
    </row>
    <row r="12" spans="1:2" x14ac:dyDescent="0.25">
      <c r="A12" t="s">
        <v>63</v>
      </c>
      <c r="B12" s="18">
        <f>-Assumptions!B30</f>
        <v>33844000000</v>
      </c>
    </row>
    <row r="13" spans="1:2" x14ac:dyDescent="0.25">
      <c r="A13" t="s">
        <v>64</v>
      </c>
      <c r="B13" s="18">
        <f>B11+B12</f>
        <v>386758133808.633</v>
      </c>
    </row>
    <row r="14" spans="1:2" x14ac:dyDescent="0.25">
      <c r="A14" s="19" t="s">
        <v>65</v>
      </c>
      <c r="B14" s="24">
        <f>B13/Assumptions!B31</f>
        <v>12.639980842167233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132460932601.77347</v>
      </c>
    </row>
    <row r="18" spans="1:2" x14ac:dyDescent="0.25">
      <c r="A18" t="s">
        <v>60</v>
      </c>
      <c r="B18" s="18">
        <f>B17*Assumptions!B13</f>
        <v>397382797805.32043</v>
      </c>
    </row>
    <row r="19" spans="1:2" x14ac:dyDescent="0.25">
      <c r="A19" t="s">
        <v>61</v>
      </c>
      <c r="B19" s="18">
        <f>B18/(1+Assumptions!B26)^(5-0.5*Assumptions!B32)</f>
        <v>291597804706.4933</v>
      </c>
    </row>
    <row r="20" spans="1:2" x14ac:dyDescent="0.25">
      <c r="A20" t="s">
        <v>62</v>
      </c>
      <c r="B20" s="18">
        <f>Forecast!B17+B19</f>
        <v>387851259842.50134</v>
      </c>
    </row>
    <row r="21" spans="1:2" x14ac:dyDescent="0.25">
      <c r="A21" t="s">
        <v>63</v>
      </c>
      <c r="B21" s="18">
        <f>-Assumptions!B30</f>
        <v>33844000000</v>
      </c>
    </row>
    <row r="22" spans="1:2" x14ac:dyDescent="0.25">
      <c r="A22" t="s">
        <v>64</v>
      </c>
      <c r="B22" s="18">
        <f>B20+B21</f>
        <v>421695259842.50134</v>
      </c>
    </row>
    <row r="23" spans="1:2" x14ac:dyDescent="0.25">
      <c r="A23" s="19" t="s">
        <v>65</v>
      </c>
      <c r="B23" s="25">
        <f>B22/Assumptions!B31</f>
        <v>13.781791615219992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5.73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14.798889570009397</v>
      </c>
    </row>
    <row r="29" spans="1:2" x14ac:dyDescent="0.25">
      <c r="A29" s="19" t="s">
        <v>73</v>
      </c>
      <c r="B29" s="12">
        <f>B28/B26-1</f>
        <v>1.582703240839336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0.051204</v>
      </c>
      <c r="B5" s="31">
        <v>17.349933761531894</v>
      </c>
      <c r="C5" s="31">
        <v>17.620666872826238</v>
      </c>
      <c r="D5" s="31">
        <v>17.972789430482806</v>
      </c>
      <c r="E5" s="31">
        <v>18.463877443529757</v>
      </c>
      <c r="F5" s="31">
        <v>19.222570866969313</v>
      </c>
    </row>
    <row r="6" spans="1:6" x14ac:dyDescent="0.25">
      <c r="A6" s="30">
        <v>0.061204</v>
      </c>
      <c r="B6" s="31">
        <v>14.404655287371671</v>
      </c>
      <c r="C6" s="31">
        <v>14.45431072421661</v>
      </c>
      <c r="D6" s="31">
        <v>14.503966161061548</v>
      </c>
      <c r="E6" s="31">
        <v>14.55362159790649</v>
      </c>
      <c r="F6" s="31">
        <v>14.603277034751425</v>
      </c>
    </row>
    <row r="7" spans="1:6" x14ac:dyDescent="0.25">
      <c r="A7" s="30">
        <v>0.071204</v>
      </c>
      <c r="B7" s="31">
        <v>12.558143241224393</v>
      </c>
      <c r="C7" s="31">
        <v>12.59906104719022</v>
      </c>
      <c r="D7" s="32">
        <v>12.639978853156048</v>
      </c>
      <c r="E7" s="31">
        <v>12.680896659121878</v>
      </c>
      <c r="F7" s="31">
        <v>12.721814465087705</v>
      </c>
    </row>
    <row r="8" spans="1:6" x14ac:dyDescent="0.25">
      <c r="A8" s="30">
        <v>0.081204</v>
      </c>
      <c r="B8" s="31">
        <v>11.167038029686692</v>
      </c>
      <c r="C8" s="31">
        <v>11.201447639378575</v>
      </c>
      <c r="D8" s="31">
        <v>11.235857249070454</v>
      </c>
      <c r="E8" s="31">
        <v>11.270266858762335</v>
      </c>
      <c r="F8" s="31">
        <v>11.30467646845422</v>
      </c>
    </row>
    <row r="9" spans="1:6" x14ac:dyDescent="0.25">
      <c r="A9" s="30">
        <v>0.091204</v>
      </c>
      <c r="B9" s="31">
        <v>10.081509626672005</v>
      </c>
      <c r="C9" s="31">
        <v>10.110903099987334</v>
      </c>
      <c r="D9" s="31">
        <v>10.140296573302662</v>
      </c>
      <c r="E9" s="31">
        <v>10.169690046617989</v>
      </c>
      <c r="F9" s="31">
        <v>10.199083519933314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392223000000</v>
      </c>
      <c r="C5" s="18">
        <v>389589000000</v>
      </c>
      <c r="D5" s="18">
        <v>372597000000</v>
      </c>
      <c r="E5" s="18">
        <v>354944000000</v>
      </c>
      <c r="F5" s="8" t="s">
        <v>84</v>
      </c>
    </row>
    <row r="6" spans="1:6" x14ac:dyDescent="0.25">
      <c r="A6" t="s">
        <v>44</v>
      </c>
      <c r="B6" s="18">
        <v>21988000000</v>
      </c>
      <c r="C6" s="18">
        <v>22766000000</v>
      </c>
      <c r="D6" s="18">
        <v>25409000000</v>
      </c>
      <c r="E6" s="18">
        <v>24337000000</v>
      </c>
      <c r="F6" s="8" t="s">
        <v>85</v>
      </c>
    </row>
    <row r="7" spans="1:6" x14ac:dyDescent="0.25">
      <c r="A7" t="s">
        <v>86</v>
      </c>
      <c r="B7" s="18">
        <v>80831000000</v>
      </c>
      <c r="C7" s="18">
        <v>83392000000</v>
      </c>
      <c r="D7" s="18">
        <v>84847000000</v>
      </c>
      <c r="E7" s="18">
        <v>86829000000</v>
      </c>
      <c r="F7" s="8" t="s">
        <v>87</v>
      </c>
    </row>
    <row r="8" spans="1:6" x14ac:dyDescent="0.25">
      <c r="A8" t="s">
        <v>88</v>
      </c>
      <c r="B8" s="18">
        <v>67641000000</v>
      </c>
      <c r="C8" s="18">
        <v>75740000000</v>
      </c>
      <c r="D8" s="18">
        <v>79375000000</v>
      </c>
      <c r="E8" s="18">
        <v>72470000000</v>
      </c>
      <c r="F8" s="8" t="s">
        <v>89</v>
      </c>
    </row>
    <row r="9" spans="1:6" x14ac:dyDescent="0.25">
      <c r="A9" t="s">
        <v>90</v>
      </c>
      <c r="B9" s="18">
        <v>9631000000</v>
      </c>
      <c r="C9" s="18">
        <v>13944000000</v>
      </c>
      <c r="D9" s="18">
        <v>4404000000</v>
      </c>
      <c r="E9" s="18">
        <v>7777000000</v>
      </c>
      <c r="F9" s="8" t="s">
        <v>91</v>
      </c>
    </row>
    <row r="10" spans="1:6" x14ac:dyDescent="0.25">
      <c r="A10" t="s">
        <v>92</v>
      </c>
      <c r="B10" s="18">
        <v>34087000000</v>
      </c>
      <c r="C10" s="18">
        <v>41207000000</v>
      </c>
      <c r="D10" s="18">
        <v>45544000000</v>
      </c>
      <c r="E10" s="18">
        <v>56176000000</v>
      </c>
      <c r="F10" s="8" t="s">
        <v>93</v>
      </c>
    </row>
    <row r="11" spans="1:6" x14ac:dyDescent="0.25">
      <c r="A11" t="s">
        <v>94</v>
      </c>
      <c r="B11" s="18">
        <v>67931000000</v>
      </c>
      <c r="C11" s="18">
        <v>64895000000</v>
      </c>
      <c r="D11" s="18">
        <v>85268000000</v>
      </c>
      <c r="E11" s="18">
        <v>84811000000</v>
      </c>
      <c r="F11" s="8" t="s">
        <v>95</v>
      </c>
    </row>
    <row r="12" spans="1:6" x14ac:dyDescent="0.25">
      <c r="A12" t="s">
        <v>32</v>
      </c>
      <c r="B12" s="34">
        <v>30598000000</v>
      </c>
      <c r="C12" s="34">
        <v>30598000000</v>
      </c>
      <c r="D12" s="34">
        <v>30598000000</v>
      </c>
      <c r="E12" s="34">
        <v>30598000000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2026-09-19T00:09:43Z</dcterms:modified>
</cp:coreProperties>
</file>