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<sst xmlns="http://schemas.openxmlformats.org/spreadsheetml/2006/main" count="114" uniqueCount="102">
  <si>
    <t>PetroChina Company Limited (0857.HK)</t>
  </si>
  <si>
    <t>DCF Studio - Base case</t>
  </si>
  <si>
    <t>Blue figures on a cream fill are inputs. Every other figure is a formula - change an input and the model reprices. Currency figures are CNY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</si>
  <si>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</si>
  <si>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</si>
  <si>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</si>
  <si>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</si>
  <si>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</si>
  <si>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</si>
  <si>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</si>
  <si>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</si>
  <si>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</si>
  <si>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</si>
  <si>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</si>
  <si>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</si>
  <si>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</si>
  <si>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HKD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</si>
  <si>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</si>
  <si>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</si>
  <si>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</si>
  <si>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</si>
  <si>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</si>
  <si>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</si>
  <si>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(CNY m)</t>
  </si>
  <si>
    <t>Total debt (CNY m)</t>
  </si>
  <si>
    <t>Equity weight</t>
  </si>
  <si>
    <t>Debt weight</t>
  </si>
  <si>
    <t>WACC</t>
  </si>
  <si>
    <t>Base year</t>
  </si>
  <si>
    <t>Revenue, last reported year (CNY m)</t>
  </si>
  <si>
    <t>Fiscal year ended 2025-12-31</t>
  </si>
  <si>
    <t>Net debt (CNY m)</t>
  </si>
  <si>
    <t>Diluted shares</t>
  </si>
  <si>
    <t>Mid-year discounting (1 = yes, 0 = no)</t>
  </si>
  <si>
    <t>Terminal year on a steady-state footing (1 = yes, 0 = no)</t>
  </si>
  <si>
    <t>Forecast cashflows (CNY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</si>
  <si>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</si>
  <si>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</si>
  <si>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</si>
  <si>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</si>
  <si>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</si>
  <si>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</si>
  <si>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</si>
  <si>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</si>
  <si>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</si>
  <si>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</si>
  <si>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</si>
  <si>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</si>
  <si>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</si>
  <si>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</si>
  <si>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</si>
  <si>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</si>
  <si>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</si>
  <si>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(CNY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</si>
  <si>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</si>
  <si>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</si>
  <si>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</si>
  <si>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</si>
  <si>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</si>
  <si>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</si>
  <si>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</si>
  <si>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</si>
  <si>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</si>
  <si>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</si>
  <si>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</si>
  <si>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</si>
  <si>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</si>
  <si>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</si>
  <si>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</si>
  <si>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(HKD)</t>
  </si>
  <si>
    <t>Conversion, CNY to HKD</t>
  </si>
  <si>
    <t>CNY/HKD at 1.1708</t>
  </si>
  <si>
    <t>Value per share (HKD)</t>
  </si>
  <si>
    <t>Implied upside</t>
  </si>
  <si>
    <t>Value per share (CNY)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</si>
  <si>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</si>
  <si>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(CNY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</si>
  <si>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</si>
  <si>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</si>
  <si>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</si>
  <si>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</si>
  <si>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</si>
  <si>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</si>
  <si>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</si>
  <si>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</si>
  <si>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</si>
  <si>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</si>
  <si>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</si>
  <si>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</si>
  <si>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</si>
  <si>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</si>
  <si>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</si>
  <si>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</si>
  <si>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</si>
  <si>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</si>
  <si>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</si>
  <si>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</si>
  <si>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</si>
  <si>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Reports in CNY, trades in HKD. Modelled in CNY, converted at the end.</t>
  </si>
  <si>
    <t>Adjusted: Capital expenditure runs at 9.4% of revenue against depreciation of 7.5%. A perpetuity has to be a steady state, so the terminal year uses maintenance capex at depreciation and then charges the reinvestment terminal growth requires (g/ROIC of NOPAT). The bridge is shown under Terminal Value.</t>
  </si>
  <si>
    <t>Note: Risk-free rate is an assumption: HKD assumption - no free live source available for this market.</t>
  </si>
  <si>
    <t>Data: Yahoo Finance. Risk-free rate: HKD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</si>
</sst>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-0.04014949931736134</v>
      </c>
    </row>
    <row r="7" spans="1:2" x14ac:dyDescent="0.25">
      <c r="A7" t="s">
        <v>5</v>
      </c>
      <c r="B7" s="6">
        <v>0.09183609901255844</v>
      </c>
    </row>
    <row r="8" spans="1:2" x14ac:dyDescent="0.25">
      <c r="A8" t="s">
        <v>6</v>
      </c>
      <c r="B8" s="6">
        <v>0.165</v>
      </c>
    </row>
    <row r="9" spans="1:2" x14ac:dyDescent="0.25">
      <c r="A9" t="s">
        <v>7</v>
      </c>
      <c r="B9" s="6">
        <v>0.07479011491689916</v>
      </c>
    </row>
    <row r="10" spans="1:2" x14ac:dyDescent="0.25">
      <c r="A10" t="s">
        <v>8</v>
      </c>
      <c r="B10" s="6">
        <v>0.09356191028550553</v>
      </c>
    </row>
    <row r="11" spans="1:2" x14ac:dyDescent="0.25">
      <c r="A11" t="s">
        <v>9</v>
      </c>
      <c r="B11" s="6">
        <v>-0.23741702035041898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3.8828575448612486</v>
      </c>
    </row>
    <row r="14" spans="1:3" x14ac:dyDescent="0.25">
      <c r="A14" t="s">
        <v>12</v>
      </c>
      <c r="B14" s="6">
        <v>0.14058119737670724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0.032</v>
      </c>
      <c r="C17" s="8" t="s">
        <v>16</v>
      </c>
    </row>
    <row r="18" spans="1:2" x14ac:dyDescent="0.25">
      <c r="A18" t="s">
        <v>17</v>
      </c>
      <c r="B18" s="6">
        <v>0.07</v>
      </c>
    </row>
    <row r="19" spans="1:3" x14ac:dyDescent="0.25">
      <c r="A19" t="s">
        <v>18</v>
      </c>
      <c r="B19" s="9">
        <v>0.70855</v>
      </c>
      <c r="C19" s="8" t="s">
        <v>19</v>
      </c>
    </row>
    <row r="20" spans="1:2" x14ac:dyDescent="0.25">
      <c r="A20" t="s">
        <v>20</v>
      </c>
      <c r="B20" s="10">
        <f>B17+B19*B18</f>
        <v>0.0815985</v>
      </c>
    </row>
    <row r="21" spans="1:3" x14ac:dyDescent="0.25">
      <c r="A21" t="s">
        <v>21</v>
      </c>
      <c r="B21" s="6">
        <v>0.0495174954582419</v>
      </c>
      <c r="C21" s="8" t="s">
        <v>22</v>
      </c>
    </row>
    <row r="22" spans="1:2" x14ac:dyDescent="0.25">
      <c r="A22" t="s">
        <v>23</v>
      </c>
      <c r="B22" s="11">
        <v>1736869019648</v>
      </c>
    </row>
    <row r="23" spans="1:2" x14ac:dyDescent="0.25">
      <c r="A23" t="s">
        <v>24</v>
      </c>
      <c r="B23" s="11">
        <v>353775000000</v>
      </c>
    </row>
    <row r="24" spans="1:2" x14ac:dyDescent="0.25">
      <c r="A24" t="s">
        <v>25</v>
      </c>
      <c r="B24" s="10">
        <f>B22/(B22+B23)</f>
        <v>0.8307818085359339</v>
      </c>
    </row>
    <row r="25" spans="1:2" x14ac:dyDescent="0.25">
      <c r="A25" t="s">
        <v>26</v>
      </c>
      <c r="B25" s="10">
        <f>1-B24</f>
        <v>0.16921819146406614</v>
      </c>
    </row>
    <row r="26" spans="1:2" x14ac:dyDescent="0.25">
      <c r="A26" t="s">
        <v>27</v>
      </c>
      <c r="B26" s="12">
        <f>B24*B20+B25*B21*(1-B8)</f>
        <v>0.07478723236159303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2864469000000</v>
      </c>
      <c r="C29" s="8" t="s">
        <v>30</v>
      </c>
    </row>
    <row r="30" spans="1:2" x14ac:dyDescent="0.25">
      <c r="A30" t="s">
        <v>31</v>
      </c>
      <c r="B30" s="11">
        <v>108692000000</v>
      </c>
    </row>
    <row r="31" spans="1:2" x14ac:dyDescent="0.25">
      <c r="A31" t="s">
        <v>32</v>
      </c>
      <c r="B31" s="13">
        <v>182909302326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-0.04014949931736134</v>
      </c>
      <c r="C5" s="10">
        <f>Assumptions!B6</f>
        <v>-0.04014949931736134</v>
      </c>
      <c r="D5" s="10">
        <f>Assumptions!B6</f>
        <v>-0.04014949931736134</v>
      </c>
      <c r="E5" s="10">
        <f>Assumptions!B6</f>
        <v>-0.04014949931736134</v>
      </c>
      <c r="F5" s="10">
        <f>Assumptions!B6</f>
        <v>-0.04014949931736134</v>
      </c>
    </row>
    <row r="6" spans="1:6" x14ac:dyDescent="0.25">
      <c r="A6" t="s">
        <v>43</v>
      </c>
      <c r="B6" s="18">
        <f>Assumptions!B29*(1+B5)</f>
        <v>2749462003839.8975</v>
      </c>
      <c r="C6" s="18">
        <f>B6*(1+C5)</f>
        <v>2639072480993.6167</v>
      </c>
      <c r="D6" s="18">
        <f>C6*(1+D5)</f>
        <v>2533115042219.4966</v>
      </c>
      <c r="E6" s="18">
        <f>D6*(1+E5)</f>
        <v>2431411741561.107</v>
      </c>
      <c r="F6" s="18">
        <f>E6*(1+F5)</f>
        <v>2333791777503.0747</v>
      </c>
    </row>
    <row r="7" spans="1:6" x14ac:dyDescent="0.25">
      <c r="A7" t="s">
        <v>5</v>
      </c>
      <c r="B7" s="10">
        <f>Assumptions!B7</f>
        <v>0.09183609901255844</v>
      </c>
      <c r="C7" s="10">
        <f>Assumptions!B7</f>
        <v>0.09183609901255844</v>
      </c>
      <c r="D7" s="10">
        <f>Assumptions!B7</f>
        <v>0.09183609901255844</v>
      </c>
      <c r="E7" s="10">
        <f>Assumptions!B7</f>
        <v>0.09183609901255844</v>
      </c>
      <c r="F7" s="10">
        <f>Assumptions!B7</f>
        <v>0.09183609901255844</v>
      </c>
    </row>
    <row r="8" spans="1:6" x14ac:dyDescent="0.25">
      <c r="A8" t="s">
        <v>44</v>
      </c>
      <c r="B8" s="18">
        <f>B6*B7</f>
        <v>252499864815.90817</v>
      </c>
      <c r="C8" s="18">
        <f>C6*C7</f>
        <v>242362121665.84805</v>
      </c>
      <c r="D8" s="18">
        <f>D6*D7</f>
        <v>232631403827.47086</v>
      </c>
      <c r="E8" s="18">
        <f>E6*E7</f>
        <v>223291369438.30298</v>
      </c>
      <c r="F8" s="18">
        <f>F6*F7</f>
        <v>214326332753.46713</v>
      </c>
    </row>
    <row r="9" spans="1:6" x14ac:dyDescent="0.25">
      <c r="A9" t="s">
        <v>45</v>
      </c>
      <c r="B9" s="18">
        <f>B8*(1-Assumptions!B8)</f>
        <v>210837387121.28333</v>
      </c>
      <c r="C9" s="18">
        <f>C8*(1-Assumptions!B8)</f>
        <v>202372371590.98312</v>
      </c>
      <c r="D9" s="18">
        <f>D8*(1-Assumptions!B8)</f>
        <v>194247222195.93817</v>
      </c>
      <c r="E9" s="18">
        <f>E8*(1-Assumptions!B8)</f>
        <v>186448293480.98297</v>
      </c>
      <c r="F9" s="18">
        <f>F8*(1-Assumptions!B8)</f>
        <v>178962487849.14505</v>
      </c>
    </row>
    <row r="10" spans="1:6" x14ac:dyDescent="0.25">
      <c r="A10" t="s">
        <v>46</v>
      </c>
      <c r="B10" s="18">
        <f>B6*Assumptions!B9</f>
        <v>205632579226.83377</v>
      </c>
      <c r="C10" s="18">
        <f>C6*Assumptions!B9</f>
        <v>197376534127.53876</v>
      </c>
      <c r="D10" s="18">
        <f>D6*Assumptions!B9</f>
        <v>189451965105.32202</v>
      </c>
      <c r="E10" s="18">
        <f>E6*Assumptions!B9</f>
        <v>181845563561.6531</v>
      </c>
      <c r="F10" s="18">
        <f>F6*Assumptions!B9</f>
        <v>174544555231.5693</v>
      </c>
    </row>
    <row r="11" spans="1:6" x14ac:dyDescent="0.25">
      <c r="A11" t="s">
        <v>47</v>
      </c>
      <c r="B11" s="18">
        <f>-B6*Assumptions!B10</f>
        <v>-257244917336.67474</v>
      </c>
      <c r="C11" s="18">
        <f>-C6*Assumptions!B10</f>
        <v>-246916662703.67126</v>
      </c>
      <c r="D11" s="18">
        <f>-D6*Assumptions!B10</f>
        <v>-237003082323.0051</v>
      </c>
      <c r="E11" s="18">
        <f>-E6*Assumptions!B10</f>
        <v>-227487527231.06506</v>
      </c>
      <c r="F11" s="18">
        <f>-F6*Assumptions!B10</f>
        <v>-218354016911.79318</v>
      </c>
    </row>
    <row r="12" spans="1:6" x14ac:dyDescent="0.25">
      <c r="A12" t="s">
        <v>48</v>
      </c>
      <c r="B12" s="18">
        <f>-(B6-Assumptions!B29)*Assumptions!B11</f>
        <v>-27304618347.783623</v>
      </c>
      <c r="C12" s="18">
        <f>-(C6-B6)*Assumptions!B11</f>
        <v>-26208351592.06848</v>
      </c>
      <c r="D12" s="18">
        <f>-(D6-C6)*Assumptions!B11</f>
        <v>-25156099397.71355</v>
      </c>
      <c r="E12" s="18">
        <f>-(E6-D6)*Assumptions!B11</f>
        <v>-24146094602.117676</v>
      </c>
      <c r="F12" s="18">
        <f>-(F6-E6)*Assumptions!B11</f>
        <v>-23176640993.373005</v>
      </c>
    </row>
    <row r="13" spans="1:6" x14ac:dyDescent="0.25">
      <c r="A13" s="19" t="s">
        <v>49</v>
      </c>
      <c r="B13" s="20">
        <f>B9+B10+B11+B12</f>
        <v>131920430663.65869</v>
      </c>
      <c r="C13" s="20">
        <f>C9+C10+C11+C12</f>
        <v>126623891422.7821</v>
      </c>
      <c r="D13" s="20">
        <f>D9+D10+D11+D12</f>
        <v>121540005580.54155</v>
      </c>
      <c r="E13" s="20">
        <f>E9+E10+E11+E12</f>
        <v>116660235209.45337</v>
      </c>
      <c r="F13" s="20">
        <f>F9+F10+F11+F12</f>
        <v>111976385175.54817</v>
      </c>
    </row>
    <row r="14" spans="1:6" x14ac:dyDescent="0.25">
      <c r="A14" t="s">
        <v>50</v>
      </c>
      <c r="B14" s="21">
        <f>1/(1+Assumptions!$B$26)^(1-0.5*Assumptions!$B$32)</f>
        <v>0.9645811056431219</v>
      </c>
      <c r="C14" s="21">
        <f>1/(1+Assumptions!$B$26)^(2-0.5*Assumptions!$B$32)</f>
        <v>0.8974623782268804</v>
      </c>
      <c r="D14" s="21">
        <f>1/(1+Assumptions!$B$26)^(3-0.5*Assumptions!$B$32)</f>
        <v>0.8350139927275813</v>
      </c>
      <c r="E14" s="21">
        <f>1/(1+Assumptions!$B$26)^(4-0.5*Assumptions!$B$32)</f>
        <v>0.776910971386247</v>
      </c>
      <c r="F14" s="21">
        <f>1/(1+Assumptions!$B$26)^(5-0.5*Assumptions!$B$32)</f>
        <v>0.7228509494657537</v>
      </c>
    </row>
    <row r="15" spans="1:6" x14ac:dyDescent="0.25">
      <c r="A15" s="19" t="s">
        <v>51</v>
      </c>
      <c r="B15" s="20">
        <f>B13*B14</f>
        <v>127247954866.4687</v>
      </c>
      <c r="C15" s="20">
        <f>C13*C14</f>
        <v>113640178736.63231</v>
      </c>
      <c r="D15" s="20">
        <f>D13*D14</f>
        <v>101487605335.9405</v>
      </c>
      <c r="E15" s="20">
        <f>E13*E14</f>
        <v>90634616658.72447</v>
      </c>
      <c r="F15" s="20">
        <f>F13*F14</f>
        <v>80942236341.88794</v>
      </c>
    </row>
    <row r="17" spans="1:2" x14ac:dyDescent="0.25">
      <c r="A17" s="22" t="s">
        <v>52</v>
      </c>
      <c r="B17" s="23">
        <f>SUM(B15:F15)</f>
        <v>513952591939.65393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111976385175.54817</v>
      </c>
    </row>
    <row r="5" spans="1:2" x14ac:dyDescent="0.25">
      <c r="A5" t="s">
        <v>56</v>
      </c>
      <c r="B5" s="18">
        <f>IF(Assumptions!$B$33=0,B4,B4-Forecast!F11-Forecast!F10-Forecast!F12)</f>
        <v>182242078326.70383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0.17783317019991626</v>
      </c>
    </row>
    <row r="7" spans="1:2" x14ac:dyDescent="0.25">
      <c r="A7" t="s">
        <v>58</v>
      </c>
      <c r="B7" s="18">
        <f>-MAX(Forecast!F9,0)*B6</f>
        <v>-32408686532.65919</v>
      </c>
    </row>
    <row r="8" spans="1:2" x14ac:dyDescent="0.25">
      <c r="A8" t="s">
        <v>59</v>
      </c>
      <c r="B8" s="18">
        <f>IF(OR(Assumptions!$B$33=0,Assumptions!B12&lt;=0),B5,MAX(B5+B7,0))</f>
        <v>149833391794.04465</v>
      </c>
    </row>
    <row r="9" spans="1:2" x14ac:dyDescent="0.25">
      <c r="A9" t="s">
        <v>60</v>
      </c>
      <c r="B9" s="18">
        <f>B8*(1+Assumptions!B12)/(Assumptions!B26-Assumptions!B12)</f>
        <v>3084711065549.612</v>
      </c>
    </row>
    <row r="10" spans="1:2" x14ac:dyDescent="0.25">
      <c r="A10" t="s">
        <v>61</v>
      </c>
      <c r="B10" s="18">
        <f>B9/(1+Assumptions!B26)^(5-0.5*Assumptions!B32)</f>
        <v>2229786322560.0537</v>
      </c>
    </row>
    <row r="11" spans="1:2" x14ac:dyDescent="0.25">
      <c r="A11" t="s">
        <v>62</v>
      </c>
      <c r="B11" s="18">
        <f>Forecast!B17+B10</f>
        <v>2743738914499.7075</v>
      </c>
    </row>
    <row r="12" spans="1:2" x14ac:dyDescent="0.25">
      <c r="A12" t="s">
        <v>63</v>
      </c>
      <c r="B12" s="18">
        <f>-Assumptions!B30</f>
        <v>-108692000000</v>
      </c>
    </row>
    <row r="13" spans="1:2" x14ac:dyDescent="0.25">
      <c r="A13" t="s">
        <v>64</v>
      </c>
      <c r="B13" s="18">
        <f>B11+B12</f>
        <v>2635046914499.7075</v>
      </c>
    </row>
    <row r="14" spans="1:2" x14ac:dyDescent="0.25">
      <c r="A14" s="19" t="s">
        <v>65</v>
      </c>
      <c r="B14" s="24">
        <f>B13/Assumptions!B31</f>
        <v>14.406303457454847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388870887985.03644</v>
      </c>
    </row>
    <row r="18" spans="1:2" x14ac:dyDescent="0.25">
      <c r="A18" t="s">
        <v>60</v>
      </c>
      <c r="B18" s="18">
        <f>B17*Assumptions!B13</f>
        <v>1509930261389.5923</v>
      </c>
    </row>
    <row r="19" spans="1:2" x14ac:dyDescent="0.25">
      <c r="A19" t="s">
        <v>61</v>
      </c>
      <c r="B19" s="18">
        <f>B18/(1+Assumptions!B26)^(5-0.5*Assumptions!B32)</f>
        <v>1091454523072.5404</v>
      </c>
    </row>
    <row r="20" spans="1:2" x14ac:dyDescent="0.25">
      <c r="A20" t="s">
        <v>62</v>
      </c>
      <c r="B20" s="18">
        <f>Forecast!B17+B19</f>
        <v>1605407115012.1943</v>
      </c>
    </row>
    <row r="21" spans="1:2" x14ac:dyDescent="0.25">
      <c r="A21" t="s">
        <v>63</v>
      </c>
      <c r="B21" s="18">
        <f>-Assumptions!B30</f>
        <v>-108692000000</v>
      </c>
    </row>
    <row r="22" spans="1:2" x14ac:dyDescent="0.25">
      <c r="A22" t="s">
        <v>64</v>
      </c>
      <c r="B22" s="18">
        <f>B20+B21</f>
        <v>1496715115012.1943</v>
      </c>
    </row>
    <row r="23" spans="1:2" x14ac:dyDescent="0.25">
      <c r="A23" s="19" t="s">
        <v>65</v>
      </c>
      <c r="B23" s="25">
        <f>B22/Assumptions!B31</f>
        <v>8.182826657687388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9.49</v>
      </c>
    </row>
    <row r="27" spans="1:3" x14ac:dyDescent="0.25">
      <c r="A27" t="s">
        <v>70</v>
      </c>
      <c r="B27" s="27">
        <v>1.1708</v>
      </c>
      <c r="C27" s="8" t="s">
        <v>71</v>
      </c>
    </row>
    <row r="28" spans="1:2" x14ac:dyDescent="0.25">
      <c r="A28" t="s">
        <v>72</v>
      </c>
      <c r="B28" s="28">
        <f>B14*B27</f>
        <v>16.866900087988135</v>
      </c>
    </row>
    <row r="29" spans="1:2" x14ac:dyDescent="0.25">
      <c r="A29" s="19" t="s">
        <v>73</v>
      </c>
      <c r="B29" s="12">
        <f>B28/B26-1</f>
        <v>0.7773340450988551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0.054787</v>
      </c>
      <c r="B5" s="31">
        <v>20.19983780379721</v>
      </c>
      <c r="C5" s="31">
        <v>22.050259550726853</v>
      </c>
      <c r="D5" s="31">
        <v>24.51254109957934</v>
      </c>
      <c r="E5" s="31">
        <v>27.956953036905794</v>
      </c>
      <c r="F5" s="31">
        <v>33.12802236665373</v>
      </c>
    </row>
    <row r="6" spans="1:6" x14ac:dyDescent="0.25">
      <c r="A6" s="30">
        <v>0.064787</v>
      </c>
      <c r="B6" s="31">
        <v>15.956026289111783</v>
      </c>
      <c r="C6" s="31">
        <v>16.94969251956754</v>
      </c>
      <c r="D6" s="31">
        <v>18.186390422581074</v>
      </c>
      <c r="E6" s="31">
        <v>19.77091417667789</v>
      </c>
      <c r="F6" s="31">
        <v>21.87842031881201</v>
      </c>
    </row>
    <row r="7" spans="1:6" x14ac:dyDescent="0.25">
      <c r="A7" s="30">
        <v>0.074787</v>
      </c>
      <c r="B7" s="31">
        <v>13.138054069013346</v>
      </c>
      <c r="C7" s="31">
        <v>13.716676556003328</v>
      </c>
      <c r="D7" s="32">
        <v>14.406373594701519</v>
      </c>
      <c r="E7" s="31">
        <v>15.244346120102971</v>
      </c>
      <c r="F7" s="31">
        <v>16.286495112441155</v>
      </c>
    </row>
    <row r="8" spans="1:6" x14ac:dyDescent="0.25">
      <c r="A8" s="30">
        <v>0.084787</v>
      </c>
      <c r="B8" s="31">
        <v>11.13264170076318</v>
      </c>
      <c r="C8" s="31">
        <v>11.486121370719884</v>
      </c>
      <c r="D8" s="31">
        <v>11.894614613867063</v>
      </c>
      <c r="E8" s="31">
        <v>12.373183463129632</v>
      </c>
      <c r="F8" s="31">
        <v>12.942940540110241</v>
      </c>
    </row>
    <row r="9" spans="1:6" x14ac:dyDescent="0.25">
      <c r="A9" s="30">
        <v>0.094787</v>
      </c>
      <c r="B9" s="31">
        <v>9.63398885045988</v>
      </c>
      <c r="C9" s="31">
        <v>9.855651124403874</v>
      </c>
      <c r="D9" s="31">
        <v>10.10569779032804</v>
      </c>
      <c r="E9" s="31">
        <v>10.390700627751473</v>
      </c>
      <c r="F9" s="31">
        <v>10.719429813677344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2864469000000</v>
      </c>
      <c r="C5" s="18">
        <v>2937981000000</v>
      </c>
      <c r="D5" s="18">
        <v>3012812000000</v>
      </c>
      <c r="E5" s="18">
        <v>3239167000000</v>
      </c>
      <c r="F5" s="8" t="s">
        <v>84</v>
      </c>
    </row>
    <row r="6" spans="1:6" x14ac:dyDescent="0.25">
      <c r="A6" t="s">
        <v>44</v>
      </c>
      <c r="B6" s="18">
        <v>241509000000</v>
      </c>
      <c r="C6" s="18">
        <v>265638000000</v>
      </c>
      <c r="D6" s="18">
        <v>288544000000</v>
      </c>
      <c r="E6" s="18">
        <v>313697000000</v>
      </c>
      <c r="F6" s="8" t="s">
        <v>85</v>
      </c>
    </row>
    <row r="7" spans="1:6" x14ac:dyDescent="0.25">
      <c r="A7" t="s">
        <v>86</v>
      </c>
      <c r="B7" s="18">
        <v>233801000000</v>
      </c>
      <c r="C7" s="18">
        <v>229584000000</v>
      </c>
      <c r="D7" s="18">
        <v>222648000000</v>
      </c>
      <c r="E7" s="18">
        <v>212151000000</v>
      </c>
      <c r="F7" s="8" t="s">
        <v>87</v>
      </c>
    </row>
    <row r="8" spans="1:6" x14ac:dyDescent="0.25">
      <c r="A8" t="s">
        <v>88</v>
      </c>
      <c r="B8" s="18">
        <v>292789000000</v>
      </c>
      <c r="C8" s="18">
        <v>302651000000</v>
      </c>
      <c r="D8" s="18">
        <v>282508000000</v>
      </c>
      <c r="E8" s="18">
        <v>243752000000</v>
      </c>
      <c r="F8" s="8" t="s">
        <v>89</v>
      </c>
    </row>
    <row r="9" spans="1:6" x14ac:dyDescent="0.25">
      <c r="A9" t="s">
        <v>90</v>
      </c>
      <c r="B9" s="18">
        <v>17453000000</v>
      </c>
      <c r="C9" s="18">
        <v>31061000000</v>
      </c>
      <c r="D9" s="18">
        <v>3456000000</v>
      </c>
      <c r="E9" s="18">
        <v>75948000000</v>
      </c>
      <c r="F9" s="8" t="s">
        <v>91</v>
      </c>
    </row>
    <row r="10" spans="1:6" x14ac:dyDescent="0.25">
      <c r="A10" t="s">
        <v>92</v>
      </c>
      <c r="B10" s="18">
        <v>353775000000</v>
      </c>
      <c r="C10" s="18">
        <v>355752000000</v>
      </c>
      <c r="D10" s="18">
        <v>413440000000</v>
      </c>
      <c r="E10" s="18">
        <v>449614000000</v>
      </c>
      <c r="F10" s="8" t="s">
        <v>93</v>
      </c>
    </row>
    <row r="11" spans="1:6" x14ac:dyDescent="0.25">
      <c r="A11" t="s">
        <v>94</v>
      </c>
      <c r="B11" s="18">
        <v>245083000000</v>
      </c>
      <c r="C11" s="18">
        <v>219062000000</v>
      </c>
      <c r="D11" s="18">
        <v>277277000000</v>
      </c>
      <c r="E11" s="18">
        <v>228925000000</v>
      </c>
      <c r="F11" s="8" t="s">
        <v>95</v>
      </c>
    </row>
    <row r="12" spans="1:6" x14ac:dyDescent="0.25">
      <c r="A12" t="s">
        <v>32</v>
      </c>
      <c r="B12" s="34">
        <v>182909302326</v>
      </c>
      <c r="C12" s="34">
        <v>182973333333</v>
      </c>
      <c r="D12" s="34">
        <v>183425000000</v>
      </c>
      <c r="E12" s="34">
        <v>183627160494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54" customHeight="1" spans="1:6" x14ac:dyDescent="0.25">
      <c r="A17" s="35" t="s">
        <v>99</v>
      </c>
      <c r="B17" s="35"/>
      <c r="C17" s="35"/>
      <c r="D17" s="35"/>
      <c r="E17" s="35"/>
      <c r="F17" s="35"/>
    </row>
    <row r="18" ht="22" customHeight="1" spans="1:6" x14ac:dyDescent="0.25">
      <c r="A18" s="35" t="s">
        <v>100</v>
      </c>
      <c r="B18" s="35"/>
      <c r="C18" s="35"/>
      <c r="D18" s="35"/>
      <c r="E18" s="35"/>
      <c r="F18" s="35"/>
    </row>
    <row r="20" spans="1:1" x14ac:dyDescent="0.25">
      <c r="A20" s="36" t="s">
        <v>101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2026-09-19T00:09:45Z</dcterms:modified>
</cp:coreProperties>
</file>