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<sst xmlns="http://schemas.openxmlformats.org/spreadsheetml/2006/main" count="114" uniqueCount="102">
  <si>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Xinyi Glass Holdings Limited (0868.HK)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</si>
  <si>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</si>
  <si>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</si>
  <si>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</si>
  <si>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</si>
  <si>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</si>
  <si>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</si>
  <si>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</si>
  <si>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</si>
  <si>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</si>
  <si>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</si>
  <si>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</si>
  <si>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</si>
  <si>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</si>
  <si>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</si>
  <si>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</si>
  <si>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</si>
  <si>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</si>
  <si>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</si>
  <si>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</si>
  <si>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</si>
  <si>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</si>
  <si>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</si>
  <si>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</si>
  <si>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</si>
  <si>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</si>
  <si>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</si>
  <si>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</si>
  <si>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</si>
  <si>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</si>
  <si>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</si>
  <si>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</si>
  <si>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</si>
  <si>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</si>
  <si>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</si>
  <si>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</si>
  <si>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</si>
  <si>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</si>
  <si>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</si>
  <si>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</si>
  <si>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</si>
  <si>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</si>
  <si>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</si>
  <si>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</si>
  <si>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</si>
  <si>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</si>
  <si>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</si>
  <si>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</si>
  <si>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</si>
  <si>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</si>
  <si>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</si>
  <si>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</si>
  <si>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</si>
  <si>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</si>
  <si>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</si>
  <si>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</si>
  <si>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</si>
  <si>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</si>
  <si>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</si>
  <si>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</si>
  <si>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</si>
  <si>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</si>
  <si>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</si>
  <si>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</si>
  <si>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</si>
  <si>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</si>
  <si>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</si>
  <si>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</si>
  <si>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</si>
  <si>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</si>
  <si>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</si>
  <si>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</si>
  <si>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</si>
  <si>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</si>
  <si>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</si>
  <si>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</si>
  <si>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</si>
  <si>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</si>
  <si>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</si>
  <si>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</si>
  <si>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</si>
  <si>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</si>
  <si>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</si>
  <si>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</si>
  <si>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</si>
  <si>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</si>
  <si>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</si>
  <si>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</si>
  <si>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</si>
  <si>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</si>
  <si>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</si>
  <si>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</si>
  <si>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</si>
  <si>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</si>
  <si>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</si>
  <si>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</si>
  <si>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</si>
  <si>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</si>
  <si>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</si>
  <si>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13.2% of revenue against depreciation of 6.3%.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</si>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</sst>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-0.02874507466809051</v>
      </c>
    </row>
    <row r="7" spans="1:2" x14ac:dyDescent="0.25">
      <c r="A7" t="s">
        <v>5</v>
      </c>
      <c r="B7" s="6">
        <v>0.18887804547855844</v>
      </c>
    </row>
    <row r="8" spans="1:2" x14ac:dyDescent="0.25">
      <c r="A8" t="s">
        <v>6</v>
      </c>
      <c r="B8" s="6">
        <v>0.14747349757023148</v>
      </c>
    </row>
    <row r="9" spans="1:2" x14ac:dyDescent="0.25">
      <c r="A9" t="s">
        <v>7</v>
      </c>
      <c r="B9" s="6">
        <v>0.0630561264509792</v>
      </c>
    </row>
    <row r="10" spans="1:2" x14ac:dyDescent="0.25">
      <c r="A10" t="s">
        <v>8</v>
      </c>
      <c r="B10" s="6">
        <v>0.1316912460372409</v>
      </c>
    </row>
    <row r="11" spans="1:2" x14ac:dyDescent="0.25">
      <c r="A11" t="s">
        <v>9</v>
      </c>
      <c r="B11" s="6">
        <v>0.4807022826192412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7.809764946772327</v>
      </c>
    </row>
    <row r="14" spans="1:3" x14ac:dyDescent="0.25">
      <c r="A14" t="s">
        <v>12</v>
      </c>
      <c r="B14" s="6">
        <v>0.10555712631641431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1.19631</v>
      </c>
      <c r="C19" s="8" t="s">
        <v>19</v>
      </c>
    </row>
    <row r="20" spans="1:2" x14ac:dyDescent="0.25">
      <c r="A20" t="s">
        <v>20</v>
      </c>
      <c r="B20" s="10">
        <f>B17+B19*B18</f>
        <v>0.1157417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36946866176</v>
      </c>
    </row>
    <row r="23" spans="1:2" x14ac:dyDescent="0.25">
      <c r="A23" t="s">
        <v>24</v>
      </c>
      <c r="B23" s="11">
        <v>4807179000</v>
      </c>
    </row>
    <row r="24" spans="1:2" x14ac:dyDescent="0.25">
      <c r="A24" t="s">
        <v>25</v>
      </c>
      <c r="B24" s="10">
        <f>B22/(B22+B23)</f>
        <v>0.8848691431036928</v>
      </c>
    </row>
    <row r="25" spans="1:2" x14ac:dyDescent="0.25">
      <c r="A25" t="s">
        <v>26</v>
      </c>
      <c r="B25" s="10">
        <f>1-B24</f>
        <v>0.1151308568963072</v>
      </c>
    </row>
    <row r="26" spans="1:2" x14ac:dyDescent="0.25">
      <c r="A26" t="s">
        <v>27</v>
      </c>
      <c r="B26" s="12">
        <f>B24*B20+B25*B21*(1-B8)</f>
        <v>0.10555712631641431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20829014000</v>
      </c>
      <c r="C29" s="8" t="s">
        <v>30</v>
      </c>
    </row>
    <row r="30" spans="1:2" x14ac:dyDescent="0.25">
      <c r="A30" t="s">
        <v>31</v>
      </c>
      <c r="B30" s="11">
        <v>2053046000</v>
      </c>
    </row>
    <row r="31" spans="1:2" x14ac:dyDescent="0.25">
      <c r="A31" t="s">
        <v>32</v>
      </c>
      <c r="B31" s="13">
        <v>4379593000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-0.02874507466809051</v>
      </c>
      <c r="C5" s="10">
        <f>Assumptions!B6</f>
        <v>-0.02874507466809051</v>
      </c>
      <c r="D5" s="10">
        <f>Assumptions!B6</f>
        <v>-0.02874507466809051</v>
      </c>
      <c r="E5" s="10">
        <f>Assumptions!B6</f>
        <v>-0.02874507466809051</v>
      </c>
      <c r="F5" s="10">
        <f>Assumptions!B6</f>
        <v>-0.02874507466809051</v>
      </c>
    </row>
    <row r="6" spans="1:6" x14ac:dyDescent="0.25">
      <c r="A6" t="s">
        <v>43</v>
      </c>
      <c r="B6" s="18">
        <f>Assumptions!B29*(1+B5)</f>
        <v>20230282437.307297</v>
      </c>
      <c r="C6" s="18">
        <f>B6*(1+C5)</f>
        <v>19648761458.09034</v>
      </c>
      <c r="D6" s="18">
        <f>C6*(1+D5)</f>
        <v>19083956342.842033</v>
      </c>
      <c r="E6" s="18">
        <f>D6*(1+E5)</f>
        <v>18535386592.80446</v>
      </c>
      <c r="F6" s="18">
        <f>E6*(1+F5)</f>
        <v>18002585521.19237</v>
      </c>
    </row>
    <row r="7" spans="1:6" x14ac:dyDescent="0.25">
      <c r="A7" t="s">
        <v>5</v>
      </c>
      <c r="B7" s="10">
        <f>Assumptions!B7</f>
        <v>0.18887804547855844</v>
      </c>
      <c r="C7" s="10">
        <f>Assumptions!B7</f>
        <v>0.18887804547855844</v>
      </c>
      <c r="D7" s="10">
        <f>Assumptions!B7</f>
        <v>0.18887804547855844</v>
      </c>
      <c r="E7" s="10">
        <f>Assumptions!B7</f>
        <v>0.18887804547855844</v>
      </c>
      <c r="F7" s="10">
        <f>Assumptions!B7</f>
        <v>0.18887804547855844</v>
      </c>
    </row>
    <row r="8" spans="1:6" x14ac:dyDescent="0.25">
      <c r="A8" t="s">
        <v>44</v>
      </c>
      <c r="B8" s="18">
        <f>B6*B7</f>
        <v>3821056206.2378097</v>
      </c>
      <c r="C8" s="18">
        <f>C6*C7</f>
        <v>3711219660.2785335</v>
      </c>
      <c r="D8" s="18">
        <f>D6*D7</f>
        <v>3604540374.0341415</v>
      </c>
      <c r="E8" s="18">
        <f>E6*E7</f>
        <v>3500927591.8383827</v>
      </c>
      <c r="F8" s="18">
        <f>F6*F7</f>
        <v>3400293166.8034105</v>
      </c>
    </row>
    <row r="9" spans="1:6" x14ac:dyDescent="0.25">
      <c r="A9" t="s">
        <v>45</v>
      </c>
      <c r="B9" s="18">
        <f>B8*(1-Assumptions!B8)</f>
        <v>3257551683.0914803</v>
      </c>
      <c r="C9" s="18">
        <f>C8*(1-Assumptions!B8)</f>
        <v>3163913116.725852</v>
      </c>
      <c r="D9" s="18">
        <f>D8*(1-Assumptions!B8)</f>
        <v>3072966197.9422164</v>
      </c>
      <c r="E9" s="18">
        <f>E8*(1-Assumptions!B8)</f>
        <v>2984633555.129849</v>
      </c>
      <c r="F9" s="18">
        <f>F8*(1-Assumptions!B8)</f>
        <v>2898840040.7307534</v>
      </c>
    </row>
    <row r="10" spans="1:6" x14ac:dyDescent="0.25">
      <c r="A10" t="s">
        <v>46</v>
      </c>
      <c r="B10" s="18">
        <f>B6*Assumptions!B9</f>
        <v>1275643247.5058727</v>
      </c>
      <c r="C10" s="18">
        <f>C6*Assumptions!B9</f>
        <v>1238974787.106471</v>
      </c>
      <c r="D10" s="18">
        <f>D6*Assumptions!B9</f>
        <v>1203360364.3392138</v>
      </c>
      <c r="E10" s="18">
        <f>E6*Assumptions!B9</f>
        <v>1168769680.8136625</v>
      </c>
      <c r="F10" s="18">
        <f>F6*Assumptions!B9</f>
        <v>1135173309.0688734</v>
      </c>
    </row>
    <row r="11" spans="1:6" x14ac:dyDescent="0.25">
      <c r="A11" t="s">
        <v>47</v>
      </c>
      <c r="B11" s="18">
        <f>-B6*Assumptions!B10</f>
        <v>-2664151101.8543086</v>
      </c>
      <c r="C11" s="18">
        <f>-C6*Assumptions!B10</f>
        <v>-2587569879.504431</v>
      </c>
      <c r="D11" s="18">
        <f>-D6*Assumptions!B10</f>
        <v>-2513189990.1091743</v>
      </c>
      <c r="E11" s="18">
        <f>-E6*Assumptions!B10</f>
        <v>-2440948156.188388</v>
      </c>
      <c r="F11" s="18">
        <f>-F6*Assumptions!B10</f>
        <v>-2370782919.177815</v>
      </c>
    </row>
    <row r="12" spans="1:6" x14ac:dyDescent="0.25">
      <c r="A12" t="s">
        <v>48</v>
      </c>
      <c r="B12" s="18">
        <f>-(B6-Assumptions!B29)*Assumptions!B11</f>
        <v>287811628.8625678</v>
      </c>
      <c r="C12" s="18">
        <f>-(C6-B6)*Assumptions!B11</f>
        <v>279538462.1005676</v>
      </c>
      <c r="D12" s="18">
        <f>-(D6-C6)*Assumptions!B11</f>
        <v>271503108.1348844</v>
      </c>
      <c r="E12" s="18">
        <f>-(E6-D6)*Assumptions!B11</f>
        <v>263698731.01892877</v>
      </c>
      <c r="F12" s="18">
        <f>-(F6-E6)*Assumptions!B11</f>
        <v>256118691.30590814</v>
      </c>
    </row>
    <row r="13" spans="1:6" x14ac:dyDescent="0.25">
      <c r="A13" s="19" t="s">
        <v>49</v>
      </c>
      <c r="B13" s="20">
        <f>B9+B10+B11+B12</f>
        <v>2156855457.6056123</v>
      </c>
      <c r="C13" s="20">
        <f>C9+C10+C11+C12</f>
        <v>2094856486.42846</v>
      </c>
      <c r="D13" s="20">
        <f>D9+D10+D11+D12</f>
        <v>2034639680.3071404</v>
      </c>
      <c r="E13" s="20">
        <f>E9+E10+E11+E12</f>
        <v>1976153810.7740524</v>
      </c>
      <c r="F13" s="20">
        <f>F9+F10+F11+F12</f>
        <v>1919349121.92772</v>
      </c>
    </row>
    <row r="14" spans="1:6" x14ac:dyDescent="0.25">
      <c r="A14" t="s">
        <v>50</v>
      </c>
      <c r="B14" s="21">
        <f>1/(1+Assumptions!$B$26)^(1-0.5*Assumptions!$B$32)</f>
        <v>0.9510632617926267</v>
      </c>
      <c r="C14" s="21">
        <f>1/(1+Assumptions!$B$26)^(2-0.5*Assumptions!$B$32)</f>
        <v>0.860257004503654</v>
      </c>
      <c r="D14" s="21">
        <f>1/(1+Assumptions!$B$26)^(3-0.5*Assumptions!$B$32)</f>
        <v>0.7781208080761315</v>
      </c>
      <c r="E14" s="21">
        <f>1/(1+Assumptions!$B$26)^(4-0.5*Assumptions!$B$32)</f>
        <v>0.7038268666122556</v>
      </c>
      <c r="F14" s="21">
        <f>1/(1+Assumptions!$B$26)^(5-0.5*Assumptions!$B$32)</f>
        <v>0.6366264120220757</v>
      </c>
    </row>
    <row r="15" spans="1:6" x14ac:dyDescent="0.25">
      <c r="A15" s="19" t="s">
        <v>51</v>
      </c>
      <c r="B15" s="20">
        <f>B13*B14</f>
        <v>2051305986.725622</v>
      </c>
      <c r="C15" s="20">
        <f>C13*C14</f>
        <v>1802114965.8799965</v>
      </c>
      <c r="D15" s="20">
        <f>D13*D14</f>
        <v>1583195472.1843538</v>
      </c>
      <c r="E15" s="20">
        <f>E13*E14</f>
        <v>1390870144.5809696</v>
      </c>
      <c r="F15" s="20">
        <f>F13*F14</f>
        <v>1221908344.9105659</v>
      </c>
    </row>
    <row r="17" spans="1:2" x14ac:dyDescent="0.25">
      <c r="A17" s="22" t="s">
        <v>52</v>
      </c>
      <c r="B17" s="23">
        <f>SUM(B15:F15)</f>
        <v>8049394914.2815075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1919349121.92772</v>
      </c>
    </row>
    <row r="5" spans="1:2" x14ac:dyDescent="0.25">
      <c r="A5" t="s">
        <v>56</v>
      </c>
      <c r="B5" s="18">
        <f>IF(Assumptions!$B$33=0,B4,B4-Forecast!F11-Forecast!F10-Forecast!F12)</f>
        <v>2903287279.2294226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0.23683858089373222</v>
      </c>
    </row>
    <row r="7" spans="1:2" x14ac:dyDescent="0.25">
      <c r="A7" t="s">
        <v>58</v>
      </c>
      <c r="B7" s="18">
        <f>-MAX(Forecast!F9,0)*B6</f>
        <v>-687610439.1395214</v>
      </c>
    </row>
    <row r="8" spans="1:2" x14ac:dyDescent="0.25">
      <c r="A8" t="s">
        <v>59</v>
      </c>
      <c r="B8" s="18">
        <f>IF(OR(Assumptions!$B$33=0,Assumptions!B12&lt;=0),B5,MAX(B5+B7,0))</f>
        <v>2215676840.089901</v>
      </c>
    </row>
    <row r="9" spans="1:2" x14ac:dyDescent="0.25">
      <c r="A9" t="s">
        <v>60</v>
      </c>
      <c r="B9" s="18">
        <f>B8*(1+Assumptions!B12)/(Assumptions!B26-Assumptions!B12)</f>
        <v>28192028004.720364</v>
      </c>
    </row>
    <row r="10" spans="1:2" x14ac:dyDescent="0.25">
      <c r="A10" t="s">
        <v>61</v>
      </c>
      <c r="B10" s="18">
        <f>B9/(1+Assumptions!B26)^(5-0.5*Assumptions!B32)</f>
        <v>17947789636.271004</v>
      </c>
    </row>
    <row r="11" spans="1:2" x14ac:dyDescent="0.25">
      <c r="A11" t="s">
        <v>62</v>
      </c>
      <c r="B11" s="18">
        <f>Forecast!B17+B10</f>
        <v>25997184550.552513</v>
      </c>
    </row>
    <row r="12" spans="1:2" x14ac:dyDescent="0.25">
      <c r="A12" t="s">
        <v>63</v>
      </c>
      <c r="B12" s="18">
        <f>-Assumptions!B30</f>
        <v>-2053046000</v>
      </c>
    </row>
    <row r="13" spans="1:2" x14ac:dyDescent="0.25">
      <c r="A13" t="s">
        <v>64</v>
      </c>
      <c r="B13" s="18">
        <f>B11+B12</f>
        <v>23944138550.552513</v>
      </c>
    </row>
    <row r="14" spans="1:2" x14ac:dyDescent="0.25">
      <c r="A14" s="19" t="s">
        <v>65</v>
      </c>
      <c r="B14" s="24">
        <f>B13/Assumptions!B31</f>
        <v>5.467206325006116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4535466475.872284</v>
      </c>
    </row>
    <row r="18" spans="1:2" x14ac:dyDescent="0.25">
      <c r="A18" t="s">
        <v>60</v>
      </c>
      <c r="B18" s="18">
        <f>B17*Assumptions!B13</f>
        <v>35420927100.52838</v>
      </c>
    </row>
    <row r="19" spans="1:2" x14ac:dyDescent="0.25">
      <c r="A19" t="s">
        <v>61</v>
      </c>
      <c r="B19" s="18">
        <f>B18/(1+Assumptions!B26)^(5-0.5*Assumptions!B32)</f>
        <v>22549897730.50489</v>
      </c>
    </row>
    <row r="20" spans="1:2" x14ac:dyDescent="0.25">
      <c r="A20" t="s">
        <v>62</v>
      </c>
      <c r="B20" s="18">
        <f>Forecast!B17+B19</f>
        <v>30599292644.7864</v>
      </c>
    </row>
    <row r="21" spans="1:2" x14ac:dyDescent="0.25">
      <c r="A21" t="s">
        <v>63</v>
      </c>
      <c r="B21" s="18">
        <f>-Assumptions!B30</f>
        <v>-2053046000</v>
      </c>
    </row>
    <row r="22" spans="1:2" x14ac:dyDescent="0.25">
      <c r="A22" t="s">
        <v>64</v>
      </c>
      <c r="B22" s="18">
        <f>B20+B21</f>
        <v>28546246644.7864</v>
      </c>
    </row>
    <row r="23" spans="1:2" x14ac:dyDescent="0.25">
      <c r="A23" s="19" t="s">
        <v>65</v>
      </c>
      <c r="B23" s="25">
        <f>B22/Assumptions!B31</f>
        <v>6.518013579066913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8.345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6.401005165317161</v>
      </c>
    </row>
    <row r="29" spans="1:2" x14ac:dyDescent="0.25">
      <c r="A29" s="19" t="s">
        <v>73</v>
      </c>
      <c r="B29" s="12">
        <f>B28/B26-1</f>
        <v>-0.2329532456180754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0.085557</v>
      </c>
      <c r="B5" s="31">
        <v>6.931311546812147</v>
      </c>
      <c r="C5" s="31">
        <v>6.979896284034692</v>
      </c>
      <c r="D5" s="31">
        <v>7.032271262034852</v>
      </c>
      <c r="E5" s="31">
        <v>7.089459819215788</v>
      </c>
      <c r="F5" s="31">
        <v>7.1528901195846855</v>
      </c>
    </row>
    <row r="6" spans="1:6" x14ac:dyDescent="0.25">
      <c r="A6" s="30">
        <v>0.095557</v>
      </c>
      <c r="B6" s="31">
        <v>6.07699292549309</v>
      </c>
      <c r="C6" s="31">
        <v>6.099997084165075</v>
      </c>
      <c r="D6" s="31">
        <v>6.123001242837057</v>
      </c>
      <c r="E6" s="31">
        <v>6.146005401509042</v>
      </c>
      <c r="F6" s="31">
        <v>6.169009560181024</v>
      </c>
    </row>
    <row r="7" spans="1:6" x14ac:dyDescent="0.25">
      <c r="A7" s="30">
        <v>0.105557</v>
      </c>
      <c r="B7" s="31">
        <v>5.427232766241577</v>
      </c>
      <c r="C7" s="31">
        <v>5.447223286623287</v>
      </c>
      <c r="D7" s="32">
        <v>5.467213807004994</v>
      </c>
      <c r="E7" s="31">
        <v>5.487204327386703</v>
      </c>
      <c r="F7" s="31">
        <v>5.50719484776841</v>
      </c>
    </row>
    <row r="8" spans="1:6" x14ac:dyDescent="0.25">
      <c r="A8" s="30">
        <v>0.115557</v>
      </c>
      <c r="B8" s="31">
        <v>4.892251382044145</v>
      </c>
      <c r="C8" s="31">
        <v>4.909786837821923</v>
      </c>
      <c r="D8" s="31">
        <v>4.927322293599703</v>
      </c>
      <c r="E8" s="31">
        <v>4.9448577493774835</v>
      </c>
      <c r="F8" s="31">
        <v>4.962393205155261</v>
      </c>
    </row>
    <row r="9" spans="1:6" x14ac:dyDescent="0.25">
      <c r="A9" s="30">
        <v>0.125557</v>
      </c>
      <c r="B9" s="31">
        <v>4.444496130125867</v>
      </c>
      <c r="C9" s="31">
        <v>4.459999696490301</v>
      </c>
      <c r="D9" s="31">
        <v>4.475503262854732</v>
      </c>
      <c r="E9" s="31">
        <v>4.491006829219166</v>
      </c>
      <c r="F9" s="31">
        <v>4.5065103955835975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20829014000</v>
      </c>
      <c r="C5" s="18">
        <v>22323569000</v>
      </c>
      <c r="D5" s="18">
        <v>24293673000</v>
      </c>
      <c r="E5" s="18">
        <v>22733641621.16849</v>
      </c>
      <c r="F5" s="8" t="s">
        <v>84</v>
      </c>
    </row>
    <row r="6" spans="1:6" x14ac:dyDescent="0.25">
      <c r="A6" t="s">
        <v>44</v>
      </c>
      <c r="B6" s="18">
        <v>3477068000</v>
      </c>
      <c r="C6" s="18">
        <v>4371616000</v>
      </c>
      <c r="D6" s="18">
        <v>4992194000</v>
      </c>
      <c r="E6" s="18">
        <v>4256990395.136623</v>
      </c>
      <c r="F6" s="8" t="s">
        <v>85</v>
      </c>
    </row>
    <row r="7" spans="1:6" x14ac:dyDescent="0.25">
      <c r="A7" t="s">
        <v>86</v>
      </c>
      <c r="B7" s="18">
        <v>1516669000</v>
      </c>
      <c r="C7" s="18">
        <v>1450012000</v>
      </c>
      <c r="D7" s="18">
        <v>1369750000</v>
      </c>
      <c r="E7" s="18">
        <v>1320187920.304601</v>
      </c>
      <c r="F7" s="8" t="s">
        <v>87</v>
      </c>
    </row>
    <row r="8" spans="1:6" x14ac:dyDescent="0.25">
      <c r="A8" t="s">
        <v>88</v>
      </c>
      <c r="B8" s="18">
        <v>1430282000</v>
      </c>
      <c r="C8" s="18">
        <v>5073035000</v>
      </c>
      <c r="D8" s="18">
        <v>3093011000</v>
      </c>
      <c r="E8" s="18">
        <v>2353602133.704486</v>
      </c>
      <c r="F8" s="8" t="s">
        <v>89</v>
      </c>
    </row>
    <row r="9" spans="1:6" x14ac:dyDescent="0.25">
      <c r="A9" t="s">
        <v>90</v>
      </c>
      <c r="B9" s="18">
        <v>-718436000</v>
      </c>
      <c r="C9" s="18">
        <v>-192855000</v>
      </c>
      <c r="D9" s="18">
        <v>1173341000</v>
      </c>
      <c r="E9" s="18">
        <v>-1478934954.617009</v>
      </c>
      <c r="F9" s="8" t="s">
        <v>91</v>
      </c>
    </row>
    <row r="10" spans="1:6" x14ac:dyDescent="0.25">
      <c r="A10" t="s">
        <v>92</v>
      </c>
      <c r="B10" s="18">
        <v>4807179000</v>
      </c>
      <c r="C10" s="18">
        <v>7322167000</v>
      </c>
      <c r="D10" s="18">
        <v>7466857000</v>
      </c>
      <c r="E10" s="18">
        <v>12114045000</v>
      </c>
      <c r="F10" s="8" t="s">
        <v>93</v>
      </c>
    </row>
    <row r="11" spans="1:6" x14ac:dyDescent="0.25">
      <c r="A11" t="s">
        <v>94</v>
      </c>
      <c r="B11" s="18">
        <v>2754133000</v>
      </c>
      <c r="C11" s="18">
        <v>1578043000</v>
      </c>
      <c r="D11" s="18">
        <v>2178240000</v>
      </c>
      <c r="E11" s="18">
        <v>3502930000</v>
      </c>
      <c r="F11" s="8" t="s">
        <v>95</v>
      </c>
    </row>
    <row r="12" spans="1:6" x14ac:dyDescent="0.25">
      <c r="A12" t="s">
        <v>32</v>
      </c>
      <c r="B12" s="34">
        <v>4379593000</v>
      </c>
      <c r="C12" s="34">
        <v>4252139000</v>
      </c>
      <c r="D12" s="34">
        <v>4160303000</v>
      </c>
      <c r="E12" s="34">
        <v>4073088000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