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<sst xmlns="http://schemas.openxmlformats.org/spreadsheetml/2006/main" count="118" uniqueCount="103">
  <si>
    <t>Zhongsheng Group Holdings Limited (0881.HK)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</si>
  <si>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</si>
  <si>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</si>
  <si>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</si>
  <si>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</si>
  <si>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</si>
  <si>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</si>
  <si>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</si>
  <si>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</si>
  <si>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</si>
  <si>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</si>
  <si>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</si>
  <si>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</si>
  <si>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</si>
  <si>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</si>
  <si>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</si>
  <si>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</si>
  <si>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</si>
  <si>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</si>
  <si>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</si>
  <si>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</si>
  <si>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</si>
  <si>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</si>
  <si>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</si>
  <si>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</si>
  <si>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</si>
  <si>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</si>
  <si>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</si>
  <si>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</si>
  <si>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</si>
  <si>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</si>
  <si>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</si>
  <si>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</si>
  <si>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</si>
  <si>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</si>
  <si>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</si>
  <si>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</si>
  <si>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</si>
  <si>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</si>
  <si>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</si>
  <si>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</si>
  <si>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</si>
  <si>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</si>
  <si>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</si>
  <si>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</si>
  <si>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</si>
  <si>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</si>
  <si>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</si>
  <si>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</si>
  <si>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</si>
  <si>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</si>
  <si>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</si>
  <si>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</si>
  <si>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</si>
  <si>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</si>
  <si>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</si>
  <si>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</si>
  <si>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</si>
  <si>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</si>
  <si>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</si>
  <si>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</si>
  <si>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</si>
  <si>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</si>
  <si>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</si>
  <si>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</si>
  <si>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</si>
  <si>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</si>
  <si>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</si>
  <si>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</si>
  <si>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</si>
  <si>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</si>
  <si>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</si>
  <si>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</si>
  <si>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</si>
  <si>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</si>
  <si>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</si>
  <si>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</si>
  <si>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</si>
  <si>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</si>
  <si>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</si>
  <si>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</si>
  <si>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</si>
  <si>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</si>
  <si>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</si>
  <si>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</si>
  <si>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</si>
  <si>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</si>
  <si>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</si>
  <si>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</si>
  <si>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</si>
  <si>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</si>
  <si>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</si>
  <si>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</si>
  <si>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</si>
  <si>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</si>
  <si>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</si>
  <si>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</si>
  <si>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</si>
  <si>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</si>
  <si>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</si>
  <si>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Free cashflow is negative in at least one forecast year, so terminal value carries most of the valuation.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</si>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</sst>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-0.029502255414432077</v>
      </c>
    </row>
    <row r="7" spans="1:2" x14ac:dyDescent="0.25">
      <c r="A7" t="s">
        <v>5</v>
      </c>
      <c r="B7" s="6">
        <v>0.01285089353953994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0.015592599564492986</v>
      </c>
    </row>
    <row r="10" spans="1:2" x14ac:dyDescent="0.25">
      <c r="A10" t="s">
        <v>8</v>
      </c>
      <c r="B10" s="6">
        <v>0.017260367690738163</v>
      </c>
    </row>
    <row r="11" spans="1:2" x14ac:dyDescent="0.25">
      <c r="A11" t="s">
        <v>9</v>
      </c>
      <c r="B11" s="6">
        <v>-0.32790459657127136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17.66009522553381</v>
      </c>
    </row>
    <row r="14" spans="1:3" x14ac:dyDescent="0.25">
      <c r="A14" t="s">
        <v>12</v>
      </c>
      <c r="B14" s="6">
        <v>0.04499161368816662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0.9263</v>
      </c>
      <c r="C19" s="8" t="s">
        <v>19</v>
      </c>
    </row>
    <row r="20" spans="1:2" x14ac:dyDescent="0.25">
      <c r="A20" t="s">
        <v>20</v>
      </c>
      <c r="B20" s="10">
        <f>B17+B19*B18</f>
        <v>0.09684100000000001</v>
      </c>
    </row>
    <row r="21" spans="1:3" x14ac:dyDescent="0.25">
      <c r="A21" t="s">
        <v>21</v>
      </c>
      <c r="B21" s="6">
        <v>0.040481316286512796</v>
      </c>
      <c r="C21" s="8" t="s">
        <v>22</v>
      </c>
    </row>
    <row r="22" spans="1:2" x14ac:dyDescent="0.25">
      <c r="A22" t="s">
        <v>23</v>
      </c>
      <c r="B22" s="11">
        <v>7479700992</v>
      </c>
    </row>
    <row r="23" spans="1:2" x14ac:dyDescent="0.25">
      <c r="A23" t="s">
        <v>24</v>
      </c>
      <c r="B23" s="11">
        <v>34658427000</v>
      </c>
    </row>
    <row r="24" spans="1:2" x14ac:dyDescent="0.25">
      <c r="A24" t="s">
        <v>25</v>
      </c>
      <c r="B24" s="10">
        <f>B22/(B22+B23)</f>
        <v>0.17750434934888504</v>
      </c>
    </row>
    <row r="25" spans="1:2" x14ac:dyDescent="0.25">
      <c r="A25" t="s">
        <v>26</v>
      </c>
      <c r="B25" s="10">
        <f>1-B24</f>
        <v>0.822495650651115</v>
      </c>
    </row>
    <row r="26" spans="1:2" x14ac:dyDescent="0.25">
      <c r="A26" t="s">
        <v>27</v>
      </c>
      <c r="B26" s="12">
        <f>B24*B20+B25*B21*(1-B8)</f>
        <v>0.04499161368816662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164403428000</v>
      </c>
      <c r="C29" s="8" t="s">
        <v>30</v>
      </c>
    </row>
    <row r="30" spans="1:2" x14ac:dyDescent="0.25">
      <c r="A30" t="s">
        <v>31</v>
      </c>
      <c r="B30" s="11">
        <v>19031528000</v>
      </c>
    </row>
    <row r="31" spans="1:2" x14ac:dyDescent="0.25">
      <c r="A31" t="s">
        <v>32</v>
      </c>
      <c r="B31" s="13">
        <v>2366993863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-0.029502255414432077</v>
      </c>
      <c r="C5" s="10">
        <f>Assumptions!B6</f>
        <v>-0.029502255414432077</v>
      </c>
      <c r="D5" s="10">
        <f>Assumptions!B6</f>
        <v>-0.029502255414432077</v>
      </c>
      <c r="E5" s="10">
        <f>Assumptions!B6</f>
        <v>-0.029502255414432077</v>
      </c>
      <c r="F5" s="10">
        <f>Assumptions!B6</f>
        <v>-0.029502255414432077</v>
      </c>
    </row>
    <row r="6" spans="1:6" x14ac:dyDescent="0.25">
      <c r="A6" t="s">
        <v>43</v>
      </c>
      <c r="B6" s="18">
        <f>Assumptions!B29*(1+B5)</f>
        <v>159553156076.1358</v>
      </c>
      <c r="C6" s="18">
        <f>B6*(1+C5)</f>
        <v>154845978113.3989</v>
      </c>
      <c r="D6" s="18">
        <f>C6*(1+D5)</f>
        <v>150277672517.19983</v>
      </c>
      <c r="E6" s="18">
        <f>D6*(1+E5)</f>
        <v>145844142239.51102</v>
      </c>
      <c r="F6" s="18">
        <f>E6*(1+F5)</f>
        <v>141541411104.4622</v>
      </c>
    </row>
    <row r="7" spans="1:6" x14ac:dyDescent="0.25">
      <c r="A7" t="s">
        <v>5</v>
      </c>
      <c r="B7" s="10">
        <f>Assumptions!B7</f>
        <v>0.01285089353953994</v>
      </c>
      <c r="C7" s="10">
        <f>Assumptions!B7</f>
        <v>0.01285089353953994</v>
      </c>
      <c r="D7" s="10">
        <f>Assumptions!B7</f>
        <v>0.01285089353953994</v>
      </c>
      <c r="E7" s="10">
        <f>Assumptions!B7</f>
        <v>0.01285089353953994</v>
      </c>
      <c r="F7" s="10">
        <f>Assumptions!B7</f>
        <v>0.01285089353953994</v>
      </c>
    </row>
    <row r="8" spans="1:6" x14ac:dyDescent="0.25">
      <c r="A8" t="s">
        <v>44</v>
      </c>
      <c r="B8" s="18">
        <f>B6*B7</f>
        <v>2050400622.6320212</v>
      </c>
      <c r="C8" s="18">
        <f>C6*C7</f>
        <v>1989909179.7612207</v>
      </c>
      <c r="D8" s="18">
        <f>D6*D7</f>
        <v>1931202370.888382</v>
      </c>
      <c r="E8" s="18">
        <f>E6*E7</f>
        <v>1874227545.285476</v>
      </c>
      <c r="F8" s="18">
        <f>F6*F7</f>
        <v>1818933605.5396998</v>
      </c>
    </row>
    <row r="9" spans="1:6" x14ac:dyDescent="0.25">
      <c r="A9" t="s">
        <v>45</v>
      </c>
      <c r="B9" s="18">
        <f>B8*(1-Assumptions!B8)</f>
        <v>1712084519.8977375</v>
      </c>
      <c r="C9" s="18">
        <f>C8*(1-Assumptions!B8)</f>
        <v>1661574165.1006193</v>
      </c>
      <c r="D9" s="18">
        <f>D8*(1-Assumptions!B8)</f>
        <v>1612553979.691799</v>
      </c>
      <c r="E9" s="18">
        <f>E8*(1-Assumptions!B8)</f>
        <v>1564980000.3133724</v>
      </c>
      <c r="F9" s="18">
        <f>F8*(1-Assumptions!B8)</f>
        <v>1518809560.6256492</v>
      </c>
    </row>
    <row r="10" spans="1:6" x14ac:dyDescent="0.25">
      <c r="A10" t="s">
        <v>46</v>
      </c>
      <c r="B10" s="18">
        <f>B6*Assumptions!B9</f>
        <v>2487848471.9462366</v>
      </c>
      <c r="C10" s="18">
        <f>C6*Assumptions!B9</f>
        <v>2414451330.894474</v>
      </c>
      <c r="D10" s="18">
        <f>D6*Assumptions!B9</f>
        <v>2343219571.0447097</v>
      </c>
      <c r="E10" s="18">
        <f>E6*Assumptions!B9</f>
        <v>2274089308.7676525</v>
      </c>
      <c r="F10" s="18">
        <f>F6*Assumptions!B9</f>
        <v>2206998545.1451597</v>
      </c>
    </row>
    <row r="11" spans="1:6" x14ac:dyDescent="0.25">
      <c r="A11" t="s">
        <v>47</v>
      </c>
      <c r="B11" s="18">
        <f>-B6*Assumptions!B10</f>
        <v>-2753946140.091838</v>
      </c>
      <c r="C11" s="18">
        <f>-C6*Assumptions!B10</f>
        <v>-2672698517.669259</v>
      </c>
      <c r="D11" s="18">
        <f>-D6*Assumptions!B10</f>
        <v>-2593847883.3552065</v>
      </c>
      <c r="E11" s="18">
        <f>-E6*Assumptions!B10</f>
        <v>-2517323520.594277</v>
      </c>
      <c r="F11" s="18">
        <f>-F6*Assumptions!B10</f>
        <v>-2443056799.1289473</v>
      </c>
    </row>
    <row r="12" spans="1:6" x14ac:dyDescent="0.25">
      <c r="A12" t="s">
        <v>48</v>
      </c>
      <c r="B12" s="18">
        <f>-(B6-Assumptions!B29)*Assumptions!B11</f>
        <v>-1590426458.4556537</v>
      </c>
      <c r="C12" s="18">
        <f>-(C6-B6)*Assumptions!B11</f>
        <v>-1543505290.8604248</v>
      </c>
      <c r="D12" s="18">
        <f>-(D6-C6)*Assumptions!B11</f>
        <v>-1497968403.535936</v>
      </c>
      <c r="E12" s="18">
        <f>-(E6-D6)*Assumptions!B11</f>
        <v>-1453774957.0920668</v>
      </c>
      <c r="F12" s="18">
        <f>-(F6-E6)*Assumptions!B11</f>
        <v>-1410885316.9928346</v>
      </c>
    </row>
    <row r="13" spans="1:6" x14ac:dyDescent="0.25">
      <c r="A13" s="19" t="s">
        <v>49</v>
      </c>
      <c r="B13" s="20">
        <f>B9+B10+B11+B12</f>
        <v>-144439606.70351744</v>
      </c>
      <c r="C13" s="20">
        <f>C9+C10+C11+C12</f>
        <v>-140178312.53459048</v>
      </c>
      <c r="D13" s="20">
        <f>D9+D10+D11+D12</f>
        <v>-136042736.15463424</v>
      </c>
      <c r="E13" s="20">
        <f>E9+E10+E11+E12</f>
        <v>-132029168.60531855</v>
      </c>
      <c r="F13" s="20">
        <f>F9+F10+F11+F12</f>
        <v>-128134010.35097265</v>
      </c>
    </row>
    <row r="14" spans="1:6" x14ac:dyDescent="0.25">
      <c r="A14" t="s">
        <v>50</v>
      </c>
      <c r="B14" s="21">
        <f>1/(1+Assumptions!$B$26)^(1-0.5*Assumptions!$B$32)</f>
        <v>0.9782359013559149</v>
      </c>
      <c r="C14" s="21">
        <f>1/(1+Assumptions!$B$26)^(2-0.5*Assumptions!$B$32)</f>
        <v>0.9361184229061459</v>
      </c>
      <c r="D14" s="21">
        <f>1/(1+Assumptions!$B$26)^(3-0.5*Assumptions!$B$32)</f>
        <v>0.8958142923293265</v>
      </c>
      <c r="E14" s="21">
        <f>1/(1+Assumptions!$B$26)^(4-0.5*Assumptions!$B$32)</f>
        <v>0.8572454368008395</v>
      </c>
      <c r="F14" s="21">
        <f>1/(1+Assumptions!$B$26)^(5-0.5*Assumptions!$B$32)</f>
        <v>0.8203371448841581</v>
      </c>
    </row>
    <row r="15" spans="1:6" x14ac:dyDescent="0.25">
      <c r="A15" s="19" t="s">
        <v>51</v>
      </c>
      <c r="B15" s="20">
        <f>B13*B14</f>
        <v>-141296008.8551092</v>
      </c>
      <c r="C15" s="20">
        <f>C13*C14</f>
        <v>-131223500.85552566</v>
      </c>
      <c r="D15" s="20">
        <f>D13*D14</f>
        <v>-121869027.41490895</v>
      </c>
      <c r="E15" s="20">
        <f>E13*E14</f>
        <v>-113181402.31151798</v>
      </c>
      <c r="F15" s="20">
        <f>F13*F14</f>
        <v>-105113088.21387407</v>
      </c>
    </row>
    <row r="17" spans="1:2" x14ac:dyDescent="0.25">
      <c r="A17" s="22" t="s">
        <v>52</v>
      </c>
      <c r="B17" s="23">
        <f>SUM(B15:F15)</f>
        <v>-612683027.6509359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-128134010.35097265</v>
      </c>
    </row>
    <row r="5" spans="1:2" x14ac:dyDescent="0.25">
      <c r="A5" t="s">
        <v>56</v>
      </c>
      <c r="B5" s="18">
        <f>IF(Assumptions!$B$33=0,B4,B4-Forecast!F11-Forecast!F10-Forecast!F12)</f>
        <v>1872660083.6986647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0.555659109568131</v>
      </c>
    </row>
    <row r="7" spans="1:2" x14ac:dyDescent="0.25">
      <c r="A7" t="s">
        <v>58</v>
      </c>
      <c r="B7" s="18">
        <f>-MAX(Forecast!F9,0)*B6</f>
        <v>-1040560634.6317817</v>
      </c>
    </row>
    <row r="8" spans="1:2" x14ac:dyDescent="0.25">
      <c r="A8" t="s">
        <v>59</v>
      </c>
      <c r="B8" s="18">
        <f>IF(OR(Assumptions!$B$33=0,Assumptions!B12&lt;=0),B5,MAX(B5+B7,0))</f>
        <v>832099449.066883</v>
      </c>
    </row>
    <row r="9" spans="1:2" x14ac:dyDescent="0.25">
      <c r="A9" t="s">
        <v>60</v>
      </c>
      <c r="B9" s="18">
        <f>B8*(1+Assumptions!B12)/(Assumptions!B26-Assumptions!B12)</f>
        <v>42662986019.90305</v>
      </c>
    </row>
    <row r="10" spans="1:2" x14ac:dyDescent="0.25">
      <c r="A10" t="s">
        <v>61</v>
      </c>
      <c r="B10" s="18">
        <f>B9/(1+Assumptions!B26)^(5-0.5*Assumptions!B32)</f>
        <v>34998032143.800026</v>
      </c>
    </row>
    <row r="11" spans="1:2" x14ac:dyDescent="0.25">
      <c r="A11" t="s">
        <v>62</v>
      </c>
      <c r="B11" s="18">
        <f>Forecast!B17+B10</f>
        <v>34385349116.14909</v>
      </c>
    </row>
    <row r="12" spans="1:2" x14ac:dyDescent="0.25">
      <c r="A12" t="s">
        <v>63</v>
      </c>
      <c r="B12" s="18">
        <f>-Assumptions!B30</f>
        <v>-19031528000</v>
      </c>
    </row>
    <row r="13" spans="1:2" x14ac:dyDescent="0.25">
      <c r="A13" t="s">
        <v>64</v>
      </c>
      <c r="B13" s="18">
        <f>B11+B12</f>
        <v>15353821116.149094</v>
      </c>
    </row>
    <row r="14" spans="1:2" x14ac:dyDescent="0.25">
      <c r="A14" s="19" t="s">
        <v>65</v>
      </c>
      <c r="B14" s="24">
        <f>B13/Assumptions!B31</f>
        <v>6.486633259238448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4025932150.6848593</v>
      </c>
    </row>
    <row r="18" spans="1:2" x14ac:dyDescent="0.25">
      <c r="A18" t="s">
        <v>60</v>
      </c>
      <c r="B18" s="18">
        <f>B17*Assumptions!B13</f>
        <v>71098345152.63274</v>
      </c>
    </row>
    <row r="19" spans="1:2" x14ac:dyDescent="0.25">
      <c r="A19" t="s">
        <v>61</v>
      </c>
      <c r="B19" s="18">
        <f>B18/(1+Assumptions!B26)^(5-0.5*Assumptions!B32)</f>
        <v>58324613468.49916</v>
      </c>
    </row>
    <row r="20" spans="1:2" x14ac:dyDescent="0.25">
      <c r="A20" t="s">
        <v>62</v>
      </c>
      <c r="B20" s="18">
        <f>Forecast!B17+B19</f>
        <v>57711930440.84823</v>
      </c>
    </row>
    <row r="21" spans="1:2" x14ac:dyDescent="0.25">
      <c r="A21" t="s">
        <v>63</v>
      </c>
      <c r="B21" s="18">
        <f>-Assumptions!B30</f>
        <v>-19031528000</v>
      </c>
    </row>
    <row r="22" spans="1:2" x14ac:dyDescent="0.25">
      <c r="A22" t="s">
        <v>64</v>
      </c>
      <c r="B22" s="18">
        <f>B20+B21</f>
        <v>38680402440.84823</v>
      </c>
    </row>
    <row r="23" spans="1:2" x14ac:dyDescent="0.25">
      <c r="A23" s="19" t="s">
        <v>65</v>
      </c>
      <c r="B23" s="25">
        <f>B22/Assumptions!B31</f>
        <v>16.341572762602567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3.16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7.594550219916375</v>
      </c>
    </row>
    <row r="29" spans="1:2" x14ac:dyDescent="0.25">
      <c r="A29" s="19" t="s">
        <v>73</v>
      </c>
      <c r="B29" s="12">
        <f>B28/B26-1</f>
        <v>1.4033386771887262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0.024992</v>
      </c>
      <c r="B5" s="31">
        <v>36.293072450407564</v>
      </c>
      <c r="C5" s="31">
        <v>63.095865558747164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0.034992</v>
      </c>
      <c r="B6" s="31">
        <v>13.035099951061214</v>
      </c>
      <c r="C6" s="31">
        <v>14.455385750469372</v>
      </c>
      <c r="D6" s="31">
        <v>17.21123161075672</v>
      </c>
      <c r="E6" s="31">
        <v>25.315738676392012</v>
      </c>
      <c r="F6" s="31" t="s">
        <v>76</v>
      </c>
    </row>
    <row r="7" spans="1:6" x14ac:dyDescent="0.25">
      <c r="A7" s="30">
        <v>0.044992</v>
      </c>
      <c r="B7" s="31">
        <v>6.3422311503904405</v>
      </c>
      <c r="C7" s="31">
        <v>6.414356541513747</v>
      </c>
      <c r="D7" s="32">
        <v>6.486481932637052</v>
      </c>
      <c r="E7" s="31">
        <v>6.558607323760366</v>
      </c>
      <c r="F7" s="31">
        <v>6.630732714883667</v>
      </c>
    </row>
    <row r="8" spans="1:6" x14ac:dyDescent="0.25">
      <c r="A8" s="30">
        <v>0.054992</v>
      </c>
      <c r="B8" s="31">
        <v>3.1829263800680874</v>
      </c>
      <c r="C8" s="31">
        <v>3.239460555512228</v>
      </c>
      <c r="D8" s="31">
        <v>3.295994730956357</v>
      </c>
      <c r="E8" s="31">
        <v>3.352528906400493</v>
      </c>
      <c r="F8" s="31">
        <v>3.4090630818446286</v>
      </c>
    </row>
    <row r="9" spans="1:6" x14ac:dyDescent="0.25">
      <c r="A9" s="30">
        <v>0.064992</v>
      </c>
      <c r="B9" s="31">
        <v>1.0189721552504007</v>
      </c>
      <c r="C9" s="31">
        <v>1.0648194135461764</v>
      </c>
      <c r="D9" s="31">
        <v>1.110666671841952</v>
      </c>
      <c r="E9" s="31">
        <v>1.1565139301377243</v>
      </c>
      <c r="F9" s="31">
        <v>1.2023611884334984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164403428000</v>
      </c>
      <c r="C5" s="18">
        <v>168124205000</v>
      </c>
      <c r="D5" s="18">
        <v>179290093000</v>
      </c>
      <c r="E5" s="18">
        <v>179856972000</v>
      </c>
      <c r="F5" s="8" t="s">
        <v>85</v>
      </c>
    </row>
    <row r="6" spans="1:6" x14ac:dyDescent="0.25">
      <c r="A6" t="s">
        <v>44</v>
      </c>
      <c r="B6" s="18">
        <v>-1298202000</v>
      </c>
      <c r="C6" s="18">
        <v>1022559000</v>
      </c>
      <c r="D6" s="18">
        <v>3658547000</v>
      </c>
      <c r="E6" s="18">
        <v>5901487000</v>
      </c>
      <c r="F6" s="8" t="s">
        <v>86</v>
      </c>
    </row>
    <row r="7" spans="1:6" x14ac:dyDescent="0.25">
      <c r="A7" t="s">
        <v>87</v>
      </c>
      <c r="B7" s="18">
        <v>2799396000</v>
      </c>
      <c r="C7" s="18">
        <v>2877581000</v>
      </c>
      <c r="D7" s="18">
        <v>2218499000</v>
      </c>
      <c r="E7" s="18">
        <v>2851308000</v>
      </c>
      <c r="F7" s="8" t="s">
        <v>88</v>
      </c>
    </row>
    <row r="8" spans="1:6" x14ac:dyDescent="0.25">
      <c r="A8" t="s">
        <v>89</v>
      </c>
      <c r="B8" s="18">
        <v>2939062000</v>
      </c>
      <c r="C8" s="18">
        <v>2289087000</v>
      </c>
      <c r="D8" s="18">
        <v>2892938000</v>
      </c>
      <c r="E8" s="18">
        <v>3851344000</v>
      </c>
      <c r="F8" s="8" t="s">
        <v>90</v>
      </c>
    </row>
    <row r="9" spans="1:6" x14ac:dyDescent="0.25">
      <c r="A9" t="s">
        <v>91</v>
      </c>
      <c r="B9" s="18">
        <v>-5653958000</v>
      </c>
      <c r="C9" s="18">
        <v>3661346000</v>
      </c>
      <c r="D9" s="18">
        <v>1948269000</v>
      </c>
      <c r="E9" s="18">
        <v>1181816000</v>
      </c>
      <c r="F9" s="8" t="s">
        <v>92</v>
      </c>
    </row>
    <row r="10" spans="1:6" x14ac:dyDescent="0.25">
      <c r="A10" t="s">
        <v>93</v>
      </c>
      <c r="B10" s="18">
        <v>34658427000</v>
      </c>
      <c r="C10" s="18">
        <v>40815354000</v>
      </c>
      <c r="D10" s="18">
        <v>36756489000</v>
      </c>
      <c r="E10" s="18">
        <v>30638181000</v>
      </c>
      <c r="F10" s="8" t="s">
        <v>94</v>
      </c>
    </row>
    <row r="11" spans="1:6" x14ac:dyDescent="0.25">
      <c r="A11" t="s">
        <v>95</v>
      </c>
      <c r="B11" s="18">
        <v>15626899000</v>
      </c>
      <c r="C11" s="18">
        <v>18872250000</v>
      </c>
      <c r="D11" s="18">
        <v>15878661000</v>
      </c>
      <c r="E11" s="18">
        <v>11927780000</v>
      </c>
      <c r="F11" s="8" t="s">
        <v>96</v>
      </c>
    </row>
    <row r="12" spans="1:6" x14ac:dyDescent="0.25">
      <c r="A12" t="s">
        <v>32</v>
      </c>
      <c r="B12" s="34">
        <v>2366993863</v>
      </c>
      <c r="C12" s="34">
        <v>2366993863</v>
      </c>
      <c r="D12" s="34">
        <v>2468805445</v>
      </c>
      <c r="E12" s="34">
        <v>2517595170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2026-09-19T00:10:01Z</dcterms:modified>
</cp:coreProperties>
</file>