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<sst xmlns="http://schemas.openxmlformats.org/spreadsheetml/2006/main" count="114" uniqueCount="102">
  <si>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CNOOC Limited (0883.HK)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</si>
  <si>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</si>
  <si>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</si>
  <si>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</si>
  <si>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</si>
  <si>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</si>
  <si>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</si>
  <si>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</si>
  <si>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</si>
  <si>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</si>
  <si>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</si>
  <si>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</si>
  <si>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</si>
  <si>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</si>
  <si>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</si>
  <si>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</si>
  <si>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</si>
  <si>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</si>
  <si>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</si>
  <si>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</si>
  <si>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</si>
  <si>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</si>
  <si>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</si>
  <si>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</si>
  <si>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</si>
  <si>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</si>
  <si>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</si>
  <si>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</si>
  <si>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</si>
  <si>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</si>
  <si>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</si>
  <si>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</si>
  <si>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</si>
  <si>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</si>
  <si>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</si>
  <si>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</si>
  <si>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</si>
  <si>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</si>
  <si>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</si>
  <si>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</si>
  <si>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</si>
  <si>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</si>
  <si>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</si>
  <si>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</si>
  <si>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</si>
  <si>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</si>
  <si>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</si>
  <si>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</si>
  <si>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</si>
  <si>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</si>
  <si>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</si>
  <si>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</si>
  <si>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</si>
  <si>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</si>
  <si>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</si>
  <si>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</si>
  <si>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</si>
  <si>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</si>
  <si>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</si>
  <si>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</si>
  <si>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</si>
  <si>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</si>
  <si>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</si>
  <si>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</si>
  <si>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</si>
  <si>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</si>
  <si>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</si>
  <si>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</si>
  <si>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</si>
  <si>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</si>
  <si>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</si>
  <si>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</si>
  <si>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</si>
  <si>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</si>
  <si>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</si>
  <si>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</si>
  <si>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</si>
  <si>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</si>
  <si>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</si>
  <si>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</si>
  <si>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</si>
  <si>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</si>
  <si>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</si>
  <si>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</si>
  <si>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</si>
  <si>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</si>
  <si>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</si>
  <si>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</si>
  <si>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</si>
  <si>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</si>
  <si>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</si>
  <si>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</si>
  <si>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</si>
  <si>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</si>
  <si>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</si>
  <si>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</si>
  <si>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</si>
  <si>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</si>
  <si>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</si>
  <si>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27.0% of revenue against depreciation of 17.4%.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</si>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</sst>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-0.02694423876149865</v>
      </c>
    </row>
    <row r="7" spans="1:2" x14ac:dyDescent="0.25">
      <c r="A7" t="s">
        <v>5</v>
      </c>
      <c r="B7" s="6">
        <v>0.4372566338786933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0.17420437492756713</v>
      </c>
    </row>
    <row r="10" spans="1:2" x14ac:dyDescent="0.25">
      <c r="A10" t="s">
        <v>8</v>
      </c>
      <c r="B10" s="6">
        <v>0.26986734426196757</v>
      </c>
    </row>
    <row r="11" spans="1:2" x14ac:dyDescent="0.25">
      <c r="A11" t="s">
        <v>9</v>
      </c>
      <c r="B11" s="6">
        <v>-0.2804002512788298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3.7356848014709927</v>
      </c>
    </row>
    <row r="14" spans="1:3" x14ac:dyDescent="0.25">
      <c r="A14" t="s">
        <v>12</v>
      </c>
      <c r="B14" s="6">
        <v>0.18916428408521963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0.54708</v>
      </c>
      <c r="C19" s="8" t="s">
        <v>19</v>
      </c>
    </row>
    <row r="20" spans="1:2" x14ac:dyDescent="0.25">
      <c r="A20" t="s">
        <v>20</v>
      </c>
      <c r="B20" s="10">
        <f>B17+B19*B18</f>
        <v>0.07029560000000001</v>
      </c>
    </row>
    <row r="21" spans="1:3" x14ac:dyDescent="0.25">
      <c r="A21" t="s">
        <v>21</v>
      </c>
      <c r="B21" s="6">
        <v>0.08050121531106397</v>
      </c>
      <c r="C21" s="8" t="s">
        <v>22</v>
      </c>
    </row>
    <row r="22" spans="1:2" x14ac:dyDescent="0.25">
      <c r="A22" t="s">
        <v>23</v>
      </c>
      <c r="B22" s="11">
        <v>1121706967040</v>
      </c>
    </row>
    <row r="23" spans="1:2" x14ac:dyDescent="0.25">
      <c r="A23" t="s">
        <v>24</v>
      </c>
      <c r="B23" s="11">
        <v>69800000000</v>
      </c>
    </row>
    <row r="24" spans="1:2" x14ac:dyDescent="0.25">
      <c r="A24" t="s">
        <v>25</v>
      </c>
      <c r="B24" s="10">
        <f>B22/(B22+B23)</f>
        <v>0.941418722734454</v>
      </c>
    </row>
    <row r="25" spans="1:2" x14ac:dyDescent="0.25">
      <c r="A25" t="s">
        <v>26</v>
      </c>
      <c r="B25" s="10">
        <f>1-B24</f>
        <v>0.05858127726554596</v>
      </c>
    </row>
    <row r="26" spans="1:2" x14ac:dyDescent="0.25">
      <c r="A26" t="s">
        <v>27</v>
      </c>
      <c r="B26" s="12">
        <f>B24*B20+B25*B21*(1-B8)</f>
        <v>0.07011534041783506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398220000000</v>
      </c>
      <c r="C29" s="8" t="s">
        <v>30</v>
      </c>
    </row>
    <row r="30" spans="1:2" x14ac:dyDescent="0.25">
      <c r="A30" t="s">
        <v>31</v>
      </c>
      <c r="B30" s="11">
        <v>-170893000000</v>
      </c>
    </row>
    <row r="31" spans="1:2" x14ac:dyDescent="0.25">
      <c r="A31" t="s">
        <v>32</v>
      </c>
      <c r="B31" s="13">
        <v>47529953984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-0.02694423876149865</v>
      </c>
      <c r="C5" s="10">
        <f>Assumptions!B6</f>
        <v>-0.02694423876149865</v>
      </c>
      <c r="D5" s="10">
        <f>Assumptions!B6</f>
        <v>-0.02694423876149865</v>
      </c>
      <c r="E5" s="10">
        <f>Assumptions!B6</f>
        <v>-0.02694423876149865</v>
      </c>
      <c r="F5" s="10">
        <f>Assumptions!B6</f>
        <v>-0.02694423876149865</v>
      </c>
    </row>
    <row r="6" spans="1:6" x14ac:dyDescent="0.25">
      <c r="A6" t="s">
        <v>43</v>
      </c>
      <c r="B6" s="18">
        <f>Assumptions!B29*(1+B5)</f>
        <v>387490265240.396</v>
      </c>
      <c r="C6" s="18">
        <f>B6*(1+C5)</f>
        <v>377049635016.0023</v>
      </c>
      <c r="D6" s="18">
        <f>C6*(1+D5)</f>
        <v>366890319625.19525</v>
      </c>
      <c r="E6" s="18">
        <f>D6*(1+E5)</f>
        <v>357004739253.93146</v>
      </c>
      <c r="F6" s="18">
        <f>E6*(1+F5)</f>
        <v>347385518320.48694</v>
      </c>
    </row>
    <row r="7" spans="1:6" x14ac:dyDescent="0.25">
      <c r="A7" t="s">
        <v>5</v>
      </c>
      <c r="B7" s="10">
        <f>Assumptions!B7</f>
        <v>0.4372566338786933</v>
      </c>
      <c r="C7" s="10">
        <f>Assumptions!B7</f>
        <v>0.4372566338786933</v>
      </c>
      <c r="D7" s="10">
        <f>Assumptions!B7</f>
        <v>0.4372566338786933</v>
      </c>
      <c r="E7" s="10">
        <f>Assumptions!B7</f>
        <v>0.4372566338786933</v>
      </c>
      <c r="F7" s="10">
        <f>Assumptions!B7</f>
        <v>0.4372566338786933</v>
      </c>
    </row>
    <row r="8" spans="1:6" x14ac:dyDescent="0.25">
      <c r="A8" t="s">
        <v>44</v>
      </c>
      <c r="B8" s="18">
        <f>B6*B7</f>
        <v>169432689039.7776</v>
      </c>
      <c r="C8" s="18">
        <f>C6*C7</f>
        <v>164867454212.28705</v>
      </c>
      <c r="D8" s="18">
        <f>D6*D7</f>
        <v>160425226161.99075</v>
      </c>
      <c r="E8" s="18">
        <f>E6*E7</f>
        <v>156102690564.91467</v>
      </c>
      <c r="F8" s="18">
        <f>F6*F7</f>
        <v>151896622399.02127</v>
      </c>
    </row>
    <row r="9" spans="1:6" x14ac:dyDescent="0.25">
      <c r="A9" t="s">
        <v>45</v>
      </c>
      <c r="B9" s="18">
        <f>B8*(1-Assumptions!B8)</f>
        <v>141476295348.2143</v>
      </c>
      <c r="C9" s="18">
        <f>C8*(1-Assumptions!B8)</f>
        <v>137664324267.25967</v>
      </c>
      <c r="D9" s="18">
        <f>D8*(1-Assumptions!B8)</f>
        <v>133955063845.26227</v>
      </c>
      <c r="E9" s="18">
        <f>E8*(1-Assumptions!B8)</f>
        <v>130345746621.70375</v>
      </c>
      <c r="F9" s="18">
        <f>F8*(1-Assumptions!B8)</f>
        <v>126833679703.18275</v>
      </c>
    </row>
    <row r="10" spans="1:6" x14ac:dyDescent="0.25">
      <c r="A10" t="s">
        <v>46</v>
      </c>
      <c r="B10" s="18">
        <f>B6*Assumptions!B9</f>
        <v>67502499446.720375</v>
      </c>
      <c r="C10" s="18">
        <f>C6*Assumptions!B9</f>
        <v>65683695984.63001</v>
      </c>
      <c r="D10" s="18">
        <f>D6*Assumptions!B9</f>
        <v>63913898797.282455</v>
      </c>
      <c r="E10" s="18">
        <f>E6*Assumptions!B9</f>
        <v>62191787447.91022</v>
      </c>
      <c r="F10" s="18">
        <f>F6*Assumptions!B9</f>
        <v>60516077077.90935</v>
      </c>
    </row>
    <row r="11" spans="1:6" x14ac:dyDescent="0.25">
      <c r="A11" t="s">
        <v>47</v>
      </c>
      <c r="B11" s="18">
        <f>-B6*Assumptions!B10</f>
        <v>-104570968807.79108</v>
      </c>
      <c r="C11" s="18">
        <f>-C6*Assumptions!B10</f>
        <v>-101753383656.71272</v>
      </c>
      <c r="D11" s="18">
        <f>-D6*Assumptions!B10</f>
        <v>-99011716192.67589</v>
      </c>
      <c r="E11" s="18">
        <f>-E6*Assumptions!B10</f>
        <v>-96343920871.39468</v>
      </c>
      <c r="F11" s="18">
        <f>-F6*Assumptions!B10</f>
        <v>-93748007264.21689</v>
      </c>
    </row>
    <row r="12" spans="1:6" x14ac:dyDescent="0.25">
      <c r="A12" t="s">
        <v>48</v>
      </c>
      <c r="B12" s="18">
        <f>-(B6-Assumptions!B29)*Assumptions!B11</f>
        <v>-3008620322.748157</v>
      </c>
      <c r="C12" s="18">
        <f>-(C6-B6)*Assumptions!B11</f>
        <v>-2927555338.429332</v>
      </c>
      <c r="D12" s="18">
        <f>-(D6-C6)*Assumptions!B11</f>
        <v>-2848674588.4031844</v>
      </c>
      <c r="E12" s="18">
        <f>-(E6-D6)*Assumptions!B11</f>
        <v>-2771919220.1394353</v>
      </c>
      <c r="F12" s="18">
        <f>-(F6-E6)*Assumptions!B11</f>
        <v>-2697231966.844423</v>
      </c>
    </row>
    <row r="13" spans="1:6" x14ac:dyDescent="0.25">
      <c r="A13" s="19" t="s">
        <v>49</v>
      </c>
      <c r="B13" s="20">
        <f>B9+B10+B11+B12</f>
        <v>101399205664.39543</v>
      </c>
      <c r="C13" s="20">
        <f>C9+C10+C11+C12</f>
        <v>98667081256.74762</v>
      </c>
      <c r="D13" s="20">
        <f>D9+D10+D11+D12</f>
        <v>96008571861.46567</v>
      </c>
      <c r="E13" s="20">
        <f>E9+E10+E11+E12</f>
        <v>93421693978.07983</v>
      </c>
      <c r="F13" s="20">
        <f>F9+F10+F11+F12</f>
        <v>90904517550.03079</v>
      </c>
    </row>
    <row r="14" spans="1:6" x14ac:dyDescent="0.25">
      <c r="A14" t="s">
        <v>50</v>
      </c>
      <c r="B14" s="21">
        <f>1/(1+Assumptions!$B$26)^(1-0.5*Assumptions!$B$32)</f>
        <v>0.9666843886826976</v>
      </c>
      <c r="C14" s="21">
        <f>1/(1+Assumptions!$B$26)^(2-0.5*Assumptions!$B$32)</f>
        <v>0.9033459779253777</v>
      </c>
      <c r="D14" s="21">
        <f>1/(1+Assumptions!$B$26)^(3-0.5*Assumptions!$B$32)</f>
        <v>0.8441575817169942</v>
      </c>
      <c r="E14" s="21">
        <f>1/(1+Assumptions!$B$26)^(4-0.5*Assumptions!$B$32)</f>
        <v>0.788847285739672</v>
      </c>
      <c r="F14" s="21">
        <f>1/(1+Assumptions!$B$26)^(5-0.5*Assumptions!$B$32)</f>
        <v>0.7371609918531402</v>
      </c>
    </row>
    <row r="15" spans="1:6" x14ac:dyDescent="0.25">
      <c r="A15" s="19" t="s">
        <v>51</v>
      </c>
      <c r="B15" s="20">
        <f>B13*B14</f>
        <v>98021029140.59723</v>
      </c>
      <c r="C15" s="20">
        <f>C13*C14</f>
        <v>89130511006.91939</v>
      </c>
      <c r="D15" s="20">
        <f>D13*D14</f>
        <v>81046363846.67711</v>
      </c>
      <c r="E15" s="20">
        <f>E13*E14</f>
        <v>73695449723.81053</v>
      </c>
      <c r="F15" s="20">
        <f>F13*F14</f>
        <v>67011264321.11189</v>
      </c>
    </row>
    <row r="17" spans="1:2" x14ac:dyDescent="0.25">
      <c r="A17" s="22" t="s">
        <v>52</v>
      </c>
      <c r="B17" s="23">
        <f>SUM(B15:F15)</f>
        <v>408904618039.11615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90904517550.03079</v>
      </c>
    </row>
    <row r="5" spans="1:2" x14ac:dyDescent="0.25">
      <c r="A5" t="s">
        <v>56</v>
      </c>
      <c r="B5" s="18">
        <f>IF(Assumptions!$B$33=0,B4,B4-Forecast!F11-Forecast!F10-Forecast!F12)</f>
        <v>127519139832.04662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0.13216025488583963</v>
      </c>
    </row>
    <row r="7" spans="1:2" x14ac:dyDescent="0.25">
      <c r="A7" t="s">
        <v>58</v>
      </c>
      <c r="B7" s="18">
        <f>-MAX(Forecast!F9,0)*B6</f>
        <v>-16852962023.026306</v>
      </c>
    </row>
    <row r="8" spans="1:2" x14ac:dyDescent="0.25">
      <c r="A8" t="s">
        <v>59</v>
      </c>
      <c r="B8" s="18">
        <f>IF(OR(Assumptions!$B$33=0,Assumptions!B12&lt;=0),B5,MAX(B5+B7,0))</f>
        <v>110666177809.02031</v>
      </c>
    </row>
    <row r="9" spans="1:2" x14ac:dyDescent="0.25">
      <c r="A9" t="s">
        <v>60</v>
      </c>
      <c r="B9" s="18">
        <f>B8*(1+Assumptions!B12)/(Assumptions!B26-Assumptions!B12)</f>
        <v>2514285189997.223</v>
      </c>
    </row>
    <row r="10" spans="1:2" x14ac:dyDescent="0.25">
      <c r="A10" t="s">
        <v>61</v>
      </c>
      <c r="B10" s="18">
        <f>B9/(1+Assumptions!B26)^(5-0.5*Assumptions!B32)</f>
        <v>1853432964460.0142</v>
      </c>
    </row>
    <row r="11" spans="1:2" x14ac:dyDescent="0.25">
      <c r="A11" t="s">
        <v>62</v>
      </c>
      <c r="B11" s="18">
        <f>Forecast!B17+B10</f>
        <v>2262337582499.1304</v>
      </c>
    </row>
    <row r="12" spans="1:2" x14ac:dyDescent="0.25">
      <c r="A12" t="s">
        <v>63</v>
      </c>
      <c r="B12" s="18">
        <f>-Assumptions!B30</f>
        <v>170893000000</v>
      </c>
    </row>
    <row r="13" spans="1:2" x14ac:dyDescent="0.25">
      <c r="A13" t="s">
        <v>64</v>
      </c>
      <c r="B13" s="18">
        <f>B11+B12</f>
        <v>2433230582499.1304</v>
      </c>
    </row>
    <row r="14" spans="1:2" x14ac:dyDescent="0.25">
      <c r="A14" s="19" t="s">
        <v>65</v>
      </c>
      <c r="B14" s="24">
        <f>B13/Assumptions!B31</f>
        <v>51.19362377919045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212412699476.9306</v>
      </c>
    </row>
    <row r="18" spans="1:2" x14ac:dyDescent="0.25">
      <c r="A18" t="s">
        <v>60</v>
      </c>
      <c r="B18" s="18">
        <f>B17*Assumptions!B13</f>
        <v>793506893075.3951</v>
      </c>
    </row>
    <row r="19" spans="1:2" x14ac:dyDescent="0.25">
      <c r="A19" t="s">
        <v>61</v>
      </c>
      <c r="B19" s="18">
        <f>B18/(1+Assumptions!B26)^(5-0.5*Assumptions!B32)</f>
        <v>584942328341.762</v>
      </c>
    </row>
    <row r="20" spans="1:2" x14ac:dyDescent="0.25">
      <c r="A20" t="s">
        <v>62</v>
      </c>
      <c r="B20" s="18">
        <f>Forecast!B17+B19</f>
        <v>993846946380.8782</v>
      </c>
    </row>
    <row r="21" spans="1:2" x14ac:dyDescent="0.25">
      <c r="A21" t="s">
        <v>63</v>
      </c>
      <c r="B21" s="18">
        <f>-Assumptions!B30</f>
        <v>170893000000</v>
      </c>
    </row>
    <row r="22" spans="1:2" x14ac:dyDescent="0.25">
      <c r="A22" t="s">
        <v>64</v>
      </c>
      <c r="B22" s="18">
        <f>B20+B21</f>
        <v>1164739946380.8782</v>
      </c>
    </row>
    <row r="23" spans="1:2" x14ac:dyDescent="0.25">
      <c r="A23" s="19" t="s">
        <v>65</v>
      </c>
      <c r="B23" s="25">
        <f>B22/Assumptions!B31</f>
        <v>24.5053876293035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23.6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59.937494720676185</v>
      </c>
    </row>
    <row r="29" spans="1:2" x14ac:dyDescent="0.25">
      <c r="A29" s="19" t="s">
        <v>73</v>
      </c>
      <c r="B29" s="12">
        <f>B28/B26-1</f>
        <v>1.5397243525710245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0.050115</v>
      </c>
      <c r="B5" s="31">
        <v>69.88253809997387</v>
      </c>
      <c r="C5" s="31">
        <v>77.79728355921944</v>
      </c>
      <c r="D5" s="31">
        <v>88.84077180411907</v>
      </c>
      <c r="E5" s="31">
        <v>105.34614436014193</v>
      </c>
      <c r="F5" s="31">
        <v>132.7337296868876</v>
      </c>
    </row>
    <row r="6" spans="1:6" x14ac:dyDescent="0.25">
      <c r="A6" s="30">
        <v>0.060115</v>
      </c>
      <c r="B6" s="31">
        <v>55.12310444365731</v>
      </c>
      <c r="C6" s="31">
        <v>59.29985718105804</v>
      </c>
      <c r="D6" s="31">
        <v>64.6505301410768</v>
      </c>
      <c r="E6" s="31">
        <v>71.75984201337896</v>
      </c>
      <c r="F6" s="31">
        <v>81.67814452737919</v>
      </c>
    </row>
    <row r="7" spans="1:6" x14ac:dyDescent="0.25">
      <c r="A7" s="30">
        <v>0.070115</v>
      </c>
      <c r="B7" s="31">
        <v>45.73271659117535</v>
      </c>
      <c r="C7" s="31">
        <v>48.19612740087686</v>
      </c>
      <c r="D7" s="32">
        <v>51.19398016435219</v>
      </c>
      <c r="E7" s="31">
        <v>54.9261160708475</v>
      </c>
      <c r="F7" s="31">
        <v>59.706197291665575</v>
      </c>
    </row>
    <row r="8" spans="1:6" x14ac:dyDescent="0.25">
      <c r="A8" s="30">
        <v>0.080115</v>
      </c>
      <c r="B8" s="31">
        <v>39.236992853768726</v>
      </c>
      <c r="C8" s="31">
        <v>40.795651788663584</v>
      </c>
      <c r="D8" s="31">
        <v>42.62801587028736</v>
      </c>
      <c r="E8" s="31">
        <v>44.816008219480814</v>
      </c>
      <c r="F8" s="31">
        <v>47.47786942171538</v>
      </c>
    </row>
    <row r="9" spans="1:6" x14ac:dyDescent="0.25">
      <c r="A9" s="30">
        <v>0.090115</v>
      </c>
      <c r="B9" s="31">
        <v>34.479246510297536</v>
      </c>
      <c r="C9" s="31">
        <v>35.51339421470693</v>
      </c>
      <c r="D9" s="31">
        <v>36.69897418663341</v>
      </c>
      <c r="E9" s="31">
        <v>38.073772070471186</v>
      </c>
      <c r="F9" s="31">
        <v>39.68928507530431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398220000000</v>
      </c>
      <c r="C5" s="18">
        <v>420506000000</v>
      </c>
      <c r="D5" s="18">
        <v>421530000000</v>
      </c>
      <c r="E5" s="18">
        <v>432225000000</v>
      </c>
      <c r="F5" s="8" t="s">
        <v>84</v>
      </c>
    </row>
    <row r="6" spans="1:6" x14ac:dyDescent="0.25">
      <c r="A6" t="s">
        <v>44</v>
      </c>
      <c r="B6" s="18">
        <v>173402000000</v>
      </c>
      <c r="C6" s="18">
        <v>192752000000</v>
      </c>
      <c r="D6" s="18">
        <v>171292000000</v>
      </c>
      <c r="E6" s="18">
        <v>194002000000</v>
      </c>
      <c r="F6" s="8" t="s">
        <v>85</v>
      </c>
    </row>
    <row r="7" spans="1:6" x14ac:dyDescent="0.25">
      <c r="A7" t="s">
        <v>86</v>
      </c>
      <c r="B7" s="18">
        <v>81120000000</v>
      </c>
      <c r="C7" s="18">
        <v>75843000000</v>
      </c>
      <c r="D7" s="18">
        <v>70324000000</v>
      </c>
      <c r="E7" s="18">
        <v>63070000000</v>
      </c>
      <c r="F7" s="8" t="s">
        <v>87</v>
      </c>
    </row>
    <row r="8" spans="1:6" x14ac:dyDescent="0.25">
      <c r="A8" t="s">
        <v>88</v>
      </c>
      <c r="B8" s="18">
        <v>111555000000</v>
      </c>
      <c r="C8" s="18">
        <v>123359000000</v>
      </c>
      <c r="D8" s="18">
        <v>120875000000</v>
      </c>
      <c r="E8" s="18">
        <v>94754000000</v>
      </c>
      <c r="F8" s="8" t="s">
        <v>89</v>
      </c>
    </row>
    <row r="9" spans="1:6" x14ac:dyDescent="0.25">
      <c r="A9" t="s">
        <v>90</v>
      </c>
      <c r="B9" s="18">
        <v>6249000000</v>
      </c>
      <c r="C9" s="18">
        <v>3182000000</v>
      </c>
      <c r="D9" s="18">
        <v>-8422000000</v>
      </c>
      <c r="E9" s="18">
        <v>6197000000</v>
      </c>
      <c r="F9" s="8" t="s">
        <v>91</v>
      </c>
    </row>
    <row r="10" spans="1:6" x14ac:dyDescent="0.25">
      <c r="A10" t="s">
        <v>92</v>
      </c>
      <c r="B10" s="18">
        <v>69800000000</v>
      </c>
      <c r="C10" s="18">
        <v>91887000000</v>
      </c>
      <c r="D10" s="18">
        <v>120177000000</v>
      </c>
      <c r="E10" s="18">
        <v>134396000000</v>
      </c>
      <c r="F10" s="8" t="s">
        <v>93</v>
      </c>
    </row>
    <row r="11" spans="1:6" x14ac:dyDescent="0.25">
      <c r="A11" t="s">
        <v>94</v>
      </c>
      <c r="B11" s="18">
        <v>240693000000</v>
      </c>
      <c r="C11" s="18">
        <v>199967000000</v>
      </c>
      <c r="D11" s="18">
        <v>194866000000</v>
      </c>
      <c r="E11" s="18">
        <v>209596000000</v>
      </c>
      <c r="F11" s="8" t="s">
        <v>95</v>
      </c>
    </row>
    <row r="12" spans="1:6" x14ac:dyDescent="0.25">
      <c r="A12" t="s">
        <v>32</v>
      </c>
      <c r="B12" s="34">
        <v>47529953984</v>
      </c>
      <c r="C12" s="34">
        <v>47553280140</v>
      </c>
      <c r="D12" s="34">
        <v>47566763984</v>
      </c>
      <c r="E12" s="34">
        <v>46697155252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