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<sst xmlns="http://schemas.openxmlformats.org/spreadsheetml/2006/main" count="115" uniqueCount="103">
  <si>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China Construction Bank Corporation (0939.HK)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</si>
  <si>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</si>
  <si>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</si>
  <si>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</si>
  <si>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</si>
  <si>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</si>
  <si>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</si>
  <si>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</si>
  <si>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</si>
  <si>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</si>
  <si>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</si>
  <si>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</si>
  <si>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</si>
  <si>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</si>
  <si>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</si>
  <si>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</si>
  <si>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</si>
  <si>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</si>
  <si>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</si>
  <si>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</si>
  <si>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</si>
  <si>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</si>
  <si>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19.5% is not a credible funding cost, so risk-free + 2bp is assumed instead. Interest expense and reported debt are measuring different things - common for banks, whose interest expense includes deposits that total debt excludes.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</si>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</sst>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-0.009396280633871212</v>
      </c>
    </row>
    <row r="7" spans="1:2" x14ac:dyDescent="0.25">
      <c r="A7" t="s">
        <v>5</v>
      </c>
      <c r="B7" s="6">
        <v>0.5030646853426297</v>
      </c>
    </row>
    <row r="8" spans="1:2" x14ac:dyDescent="0.25">
      <c r="A8" t="s">
        <v>6</v>
      </c>
      <c r="B8" s="6">
        <v>0.13564954114006125</v>
      </c>
    </row>
    <row r="9" spans="1:2" x14ac:dyDescent="0.25">
      <c r="A9" t="s">
        <v>7</v>
      </c>
      <c r="B9" s="6">
        <v>0.038313418523683085</v>
      </c>
    </row>
    <row r="10" spans="1:2" x14ac:dyDescent="0.25">
      <c r="A10" t="s">
        <v>8</v>
      </c>
      <c r="B10" s="6">
        <v>0.03326475024813457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3.2868444283027385</v>
      </c>
    </row>
    <row r="14" spans="1:3" x14ac:dyDescent="0.25">
      <c r="A14" t="s">
        <v>12</v>
      </c>
      <c r="B14" s="6">
        <v>0.05830492354282802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0.49415</v>
      </c>
      <c r="C19" s="8" t="s">
        <v>19</v>
      </c>
    </row>
    <row r="20" spans="1:2" x14ac:dyDescent="0.25">
      <c r="A20" t="s">
        <v>20</v>
      </c>
      <c r="B20" s="10">
        <f>B17+B19*B18</f>
        <v>0.0665905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2508747702272</v>
      </c>
    </row>
    <row r="23" spans="1:2" x14ac:dyDescent="0.25">
      <c r="A23" t="s">
        <v>24</v>
      </c>
      <c r="B23" s="11">
        <v>3093481000000</v>
      </c>
    </row>
    <row r="24" spans="1:2" x14ac:dyDescent="0.25">
      <c r="A24" t="s">
        <v>25</v>
      </c>
      <c r="B24" s="10">
        <f>B22/(B22+B23)</f>
        <v>0.44781243958401235</v>
      </c>
    </row>
    <row r="25" spans="1:2" x14ac:dyDescent="0.25">
      <c r="A25" t="s">
        <v>26</v>
      </c>
      <c r="B25" s="10">
        <f>1-B24</f>
        <v>0.5521875604159876</v>
      </c>
    </row>
    <row r="26" spans="1:2" x14ac:dyDescent="0.25">
      <c r="A26" t="s">
        <v>27</v>
      </c>
      <c r="B26" s="12">
        <f>B24*B20+B25*B21*(1-B8)</f>
        <v>0.054638799961679245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760713000000</v>
      </c>
      <c r="C29" s="8" t="s">
        <v>30</v>
      </c>
    </row>
    <row r="30" spans="1:2" x14ac:dyDescent="0.25">
      <c r="A30" t="s">
        <v>31</v>
      </c>
      <c r="B30" s="11">
        <v>-1161388000000</v>
      </c>
    </row>
    <row r="31" spans="1:2" x14ac:dyDescent="0.25">
      <c r="A31" t="s">
        <v>32</v>
      </c>
      <c r="B31" s="13">
        <v>260696923077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-0.009396280633871212</v>
      </c>
      <c r="C5" s="10">
        <f>Assumptions!B6</f>
        <v>-0.009396280633871212</v>
      </c>
      <c r="D5" s="10">
        <f>Assumptions!B6</f>
        <v>-0.009396280633871212</v>
      </c>
      <c r="E5" s="10">
        <f>Assumptions!B6</f>
        <v>-0.009396280633871212</v>
      </c>
      <c r="F5" s="10">
        <f>Assumptions!B6</f>
        <v>-0.009396280633871212</v>
      </c>
    </row>
    <row r="6" spans="1:6" x14ac:dyDescent="0.25">
      <c r="A6" t="s">
        <v>43</v>
      </c>
      <c r="B6" s="18">
        <f>Assumptions!B29*(1+B5)</f>
        <v>753565127170.1659</v>
      </c>
      <c r="C6" s="18">
        <f>B6*(1+C5)</f>
        <v>746484417759.3762</v>
      </c>
      <c r="D6" s="18">
        <f>C6*(1+D5)</f>
        <v>739470240681.2971</v>
      </c>
      <c r="E6" s="18">
        <f>D6*(1+E5)</f>
        <v>732521970779.4594</v>
      </c>
      <c r="F6" s="18">
        <f>E6*(1+F5)</f>
        <v>725638988771.5392</v>
      </c>
    </row>
    <row r="7" spans="1:6" x14ac:dyDescent="0.25">
      <c r="A7" t="s">
        <v>5</v>
      </c>
      <c r="B7" s="10">
        <f>Assumptions!B7</f>
        <v>0.5030646853426297</v>
      </c>
      <c r="C7" s="10">
        <f>Assumptions!B7</f>
        <v>0.5030646853426297</v>
      </c>
      <c r="D7" s="10">
        <f>Assumptions!B7</f>
        <v>0.5030646853426297</v>
      </c>
      <c r="E7" s="10">
        <f>Assumptions!B7</f>
        <v>0.5030646853426297</v>
      </c>
      <c r="F7" s="10">
        <f>Assumptions!B7</f>
        <v>0.5030646853426297</v>
      </c>
    </row>
    <row r="8" spans="1:6" x14ac:dyDescent="0.25">
      <c r="A8" t="s">
        <v>44</v>
      </c>
      <c r="B8" s="18">
        <f>B6*B7</f>
        <v>379092003585.03827</v>
      </c>
      <c r="C8" s="18">
        <f>C6*C7</f>
        <v>375529948733.29675</v>
      </c>
      <c r="D8" s="18">
        <f>D6*D7</f>
        <v>372001363948.5754</v>
      </c>
      <c r="E8" s="18">
        <f>E6*E7</f>
        <v>368505934736.7317</v>
      </c>
      <c r="F8" s="18">
        <f>F6*F7</f>
        <v>365043349558.69836</v>
      </c>
    </row>
    <row r="9" spans="1:6" x14ac:dyDescent="0.25">
      <c r="A9" t="s">
        <v>45</v>
      </c>
      <c r="B9" s="18">
        <f>B8*(1-Assumptions!B8)</f>
        <v>327668347248.8614</v>
      </c>
      <c r="C9" s="18">
        <f>C8*(1-Assumptions!B8)</f>
        <v>324589483503.27435</v>
      </c>
      <c r="D9" s="18">
        <f>D8*(1-Assumptions!B8)</f>
        <v>321539549625.47424</v>
      </c>
      <c r="E9" s="18">
        <f>E8*(1-Assumptions!B8)</f>
        <v>318518273782.3047</v>
      </c>
      <c r="F9" s="18">
        <f>F8*(1-Assumptions!B8)</f>
        <v>315525386694.82996</v>
      </c>
    </row>
    <row r="10" spans="1:6" x14ac:dyDescent="0.25">
      <c r="A10" t="s">
        <v>46</v>
      </c>
      <c r="B10" s="18">
        <f>B6*Assumptions!B9</f>
        <v>28871656102.12303</v>
      </c>
      <c r="C10" s="18">
        <f>C6*Assumptions!B9</f>
        <v>28600369919.02287</v>
      </c>
      <c r="D10" s="18">
        <f>D6*Assumptions!B9</f>
        <v>28331632817.031197</v>
      </c>
      <c r="E10" s="18">
        <f>E6*Assumptions!B9</f>
        <v>28065420844.26658</v>
      </c>
      <c r="F10" s="18">
        <f>F6*Assumptions!B9</f>
        <v>27801710273.90615</v>
      </c>
    </row>
    <row r="11" spans="1:6" x14ac:dyDescent="0.25">
      <c r="A11" t="s">
        <v>47</v>
      </c>
      <c r="B11" s="18">
        <f>-B6*Assumptions!B10</f>
        <v>-25067155751.019337</v>
      </c>
      <c r="C11" s="18">
        <f>-C6*Assumptions!B10</f>
        <v>-24831617720.8898</v>
      </c>
      <c r="D11" s="18">
        <f>-D6*Assumptions!B10</f>
        <v>-24598292872.19131</v>
      </c>
      <c r="E11" s="18">
        <f>-E6*Assumptions!B10</f>
        <v>-24367160409.250046</v>
      </c>
      <c r="F11" s="18">
        <f>-F6*Assumptions!B10</f>
        <v>-24138199731.794178</v>
      </c>
    </row>
    <row r="12" spans="1:6" x14ac:dyDescent="0.25">
      <c r="A12" t="s">
        <v>48</v>
      </c>
      <c r="B12" s="18">
        <f>-(B6-Assumptions!B29)*Assumptions!B11</f>
        <v>7147872829.834106</v>
      </c>
      <c r="C12" s="18">
        <f>-(C6-B6)*Assumptions!B11</f>
        <v>7080709410.789673</v>
      </c>
      <c r="D12" s="18">
        <f>-(D6-C6)*Assumptions!B11</f>
        <v>7014177078.079102</v>
      </c>
      <c r="E12" s="18">
        <f>-(E6-D6)*Assumptions!B11</f>
        <v>6948269901.837769</v>
      </c>
      <c r="F12" s="18">
        <f>-(F6-E6)*Assumptions!B11</f>
        <v>6882982007.920166</v>
      </c>
    </row>
    <row r="13" spans="1:6" x14ac:dyDescent="0.25">
      <c r="A13" s="19" t="s">
        <v>49</v>
      </c>
      <c r="B13" s="20">
        <f>B9+B10+B11+B12</f>
        <v>338620720429.7992</v>
      </c>
      <c r="C13" s="20">
        <f>C9+C10+C11+C12</f>
        <v>335438945112.19714</v>
      </c>
      <c r="D13" s="20">
        <f>D9+D10+D11+D12</f>
        <v>332287066648.39325</v>
      </c>
      <c r="E13" s="20">
        <f>E9+E10+E11+E12</f>
        <v>329164804119.159</v>
      </c>
      <c r="F13" s="20">
        <f>F9+F10+F11+F12</f>
        <v>326071879244.86206</v>
      </c>
    </row>
    <row r="14" spans="1:6" x14ac:dyDescent="0.25">
      <c r="A14" t="s">
        <v>50</v>
      </c>
      <c r="B14" s="21">
        <f>1/(1+Assumptions!$B$26)^(1-0.5*Assumptions!$B$32)</f>
        <v>0.9737514727944762</v>
      </c>
      <c r="C14" s="21">
        <f>1/(1+Assumptions!$B$26)^(2-0.5*Assumptions!$B$32)</f>
        <v>0.9233032890785526</v>
      </c>
      <c r="D14" s="21">
        <f>1/(1+Assumptions!$B$26)^(3-0.5*Assumptions!$B$32)</f>
        <v>0.875468728357141</v>
      </c>
      <c r="E14" s="21">
        <f>1/(1+Assumptions!$B$26)^(4-0.5*Assumptions!$B$32)</f>
        <v>0.830112383869199</v>
      </c>
      <c r="F14" s="21">
        <f>1/(1+Assumptions!$B$26)^(5-0.5*Assumptions!$B$32)</f>
        <v>0.7871058640165349</v>
      </c>
    </row>
    <row r="15" spans="1:6" x14ac:dyDescent="0.25">
      <c r="A15" s="19" t="s">
        <v>51</v>
      </c>
      <c r="B15" s="20">
        <f>B13*B14</f>
        <v>329732425237.2435</v>
      </c>
      <c r="C15" s="20">
        <f>C13*C14</f>
        <v>309711881307.1317</v>
      </c>
      <c r="D15" s="20">
        <f>D13*D14</f>
        <v>290906935688.19336</v>
      </c>
      <c r="E15" s="20">
        <f>E13*E14</f>
        <v>273243780233.19302</v>
      </c>
      <c r="F15" s="20">
        <f>F13*F14</f>
        <v>256653088244.5224</v>
      </c>
    </row>
    <row r="17" spans="1:2" x14ac:dyDescent="0.25">
      <c r="A17" s="22" t="s">
        <v>52</v>
      </c>
      <c r="B17" s="23">
        <f>SUM(B15:F15)</f>
        <v>1460248110710.2842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326071879244.86206</v>
      </c>
    </row>
    <row r="5" spans="1:2" x14ac:dyDescent="0.25">
      <c r="A5" t="s">
        <v>56</v>
      </c>
      <c r="B5" s="18">
        <f>IF(Assumptions!$B$33=0,B4,B4-Forecast!F11-Forecast!F10-Forecast!F12)</f>
        <v>315525386694.82996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0.4287802552667133</v>
      </c>
    </row>
    <row r="7" spans="1:2" x14ac:dyDescent="0.25">
      <c r="A7" t="s">
        <v>58</v>
      </c>
      <c r="B7" s="18">
        <f>-MAX(Forecast!F9,0)*B6</f>
        <v>-135291055850.13762</v>
      </c>
    </row>
    <row r="8" spans="1:2" x14ac:dyDescent="0.25">
      <c r="A8" t="s">
        <v>59</v>
      </c>
      <c r="B8" s="18">
        <f>IF(OR(Assumptions!$B$33=0,Assumptions!B12&lt;=0),B5,MAX(B5+B7,0))</f>
        <v>180234330844.69232</v>
      </c>
    </row>
    <row r="9" spans="1:2" x14ac:dyDescent="0.25">
      <c r="A9" t="s">
        <v>60</v>
      </c>
      <c r="B9" s="18">
        <f>B8*(1+Assumptions!B12)/(Assumptions!B26-Assumptions!B12)</f>
        <v>6233052261045.146</v>
      </c>
    </row>
    <row r="10" spans="1:2" x14ac:dyDescent="0.25">
      <c r="A10" t="s">
        <v>61</v>
      </c>
      <c r="B10" s="18">
        <f>B9/(1+Assumptions!B26)^(5-0.5*Assumptions!B32)</f>
        <v>4906071985390.156</v>
      </c>
    </row>
    <row r="11" spans="1:2" x14ac:dyDescent="0.25">
      <c r="A11" t="s">
        <v>62</v>
      </c>
      <c r="B11" s="18">
        <f>Forecast!B17+B10</f>
        <v>6366320096100.44</v>
      </c>
    </row>
    <row r="12" spans="1:2" x14ac:dyDescent="0.25">
      <c r="A12" t="s">
        <v>63</v>
      </c>
      <c r="B12" s="18">
        <f>-Assumptions!B30</f>
        <v>1161388000000</v>
      </c>
    </row>
    <row r="13" spans="1:2" x14ac:dyDescent="0.25">
      <c r="A13" t="s">
        <v>64</v>
      </c>
      <c r="B13" s="18">
        <f>B11+B12</f>
        <v>7527708096100.44</v>
      </c>
    </row>
    <row r="14" spans="1:2" x14ac:dyDescent="0.25">
      <c r="A14" s="19" t="s">
        <v>65</v>
      </c>
      <c r="B14" s="24">
        <f>B13/Assumptions!B31</f>
        <v>28.875323909661336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392845059832.6045</v>
      </c>
    </row>
    <row r="18" spans="1:2" x14ac:dyDescent="0.25">
      <c r="A18" t="s">
        <v>60</v>
      </c>
      <c r="B18" s="18">
        <f>B17*Assumptions!B13</f>
        <v>1291220596097.052</v>
      </c>
    </row>
    <row r="19" spans="1:2" x14ac:dyDescent="0.25">
      <c r="A19" t="s">
        <v>61</v>
      </c>
      <c r="B19" s="18">
        <f>B18/(1+Assumptions!B26)^(5-0.5*Assumptions!B32)</f>
        <v>1016327302926.9154</v>
      </c>
    </row>
    <row r="20" spans="1:2" x14ac:dyDescent="0.25">
      <c r="A20" t="s">
        <v>62</v>
      </c>
      <c r="B20" s="18">
        <f>Forecast!B17+B19</f>
        <v>2476575413637.1997</v>
      </c>
    </row>
    <row r="21" spans="1:2" x14ac:dyDescent="0.25">
      <c r="A21" t="s">
        <v>63</v>
      </c>
      <c r="B21" s="18">
        <f>-Assumptions!B30</f>
        <v>1161388000000</v>
      </c>
    </row>
    <row r="22" spans="1:2" x14ac:dyDescent="0.25">
      <c r="A22" t="s">
        <v>64</v>
      </c>
      <c r="B22" s="18">
        <f>B20+B21</f>
        <v>3637963413637.1997</v>
      </c>
    </row>
    <row r="23" spans="1:2" x14ac:dyDescent="0.25">
      <c r="A23" s="19" t="s">
        <v>65</v>
      </c>
      <c r="B23" s="25">
        <f>B22/Assumptions!B31</f>
        <v>13.95476160860818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9.59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33.80722923343149</v>
      </c>
    </row>
    <row r="29" spans="1:2" x14ac:dyDescent="0.25">
      <c r="A29" s="19" t="s">
        <v>73</v>
      </c>
      <c r="B29" s="12">
        <f>B28/B26-1</f>
        <v>2.5252585227770066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0.034639</v>
      </c>
      <c r="B5" s="31">
        <v>50.17805602971223</v>
      </c>
      <c r="C5" s="31">
        <v>57.851041945018366</v>
      </c>
      <c r="D5" s="31">
        <v>73.39200185003163</v>
      </c>
      <c r="E5" s="31">
        <v>122.2416794062323</v>
      </c>
      <c r="F5" s="31" t="s">
        <v>76</v>
      </c>
    </row>
    <row r="6" spans="1:6" x14ac:dyDescent="0.25">
      <c r="A6" s="30">
        <v>0.044639</v>
      </c>
      <c r="B6" s="31">
        <v>35.47705733412397</v>
      </c>
      <c r="C6" s="31">
        <v>37.229323799145</v>
      </c>
      <c r="D6" s="31">
        <v>39.83040780232729</v>
      </c>
      <c r="E6" s="31">
        <v>44.150058853365465</v>
      </c>
      <c r="F6" s="31">
        <v>52.86267322965736</v>
      </c>
    </row>
    <row r="7" spans="1:6" x14ac:dyDescent="0.25">
      <c r="A7" s="30">
        <v>0.054639</v>
      </c>
      <c r="B7" s="31">
        <v>28.17410434221719</v>
      </c>
      <c r="C7" s="31">
        <v>28.485835082950743</v>
      </c>
      <c r="D7" s="32">
        <v>28.875178310974402</v>
      </c>
      <c r="E7" s="31">
        <v>29.389383805473685</v>
      </c>
      <c r="F7" s="31">
        <v>30.123819660401146</v>
      </c>
    </row>
    <row r="8" spans="1:6" x14ac:dyDescent="0.25">
      <c r="A8" s="30">
        <v>0.064639</v>
      </c>
      <c r="B8" s="31">
        <v>24.269626113575296</v>
      </c>
      <c r="C8" s="31">
        <v>24.340251869125435</v>
      </c>
      <c r="D8" s="31">
        <v>24.41087762467557</v>
      </c>
      <c r="E8" s="31">
        <v>24.481503380225703</v>
      </c>
      <c r="F8" s="31">
        <v>24.55212913577584</v>
      </c>
    </row>
    <row r="9" spans="1:6" x14ac:dyDescent="0.25">
      <c r="A9" s="30">
        <v>0.074639</v>
      </c>
      <c r="B9" s="31">
        <v>21.718379190013508</v>
      </c>
      <c r="C9" s="31">
        <v>21.777022828145036</v>
      </c>
      <c r="D9" s="31">
        <v>21.835666466276557</v>
      </c>
      <c r="E9" s="31">
        <v>21.89431010440808</v>
      </c>
      <c r="F9" s="31">
        <v>21.952953742539602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760713000000</v>
      </c>
      <c r="C5" s="18">
        <v>746386000000</v>
      </c>
      <c r="D5" s="18">
        <v>768585000000</v>
      </c>
      <c r="E5" s="18">
        <v>782566000000</v>
      </c>
      <c r="F5" s="8" t="s">
        <v>85</v>
      </c>
    </row>
    <row r="6" spans="1:6" x14ac:dyDescent="0.25">
      <c r="A6" t="s">
        <v>44</v>
      </c>
      <c r="B6" s="18">
        <v>380623000000</v>
      </c>
      <c r="C6" s="18">
        <v>384377000000</v>
      </c>
      <c r="D6" s="18">
        <v>389377000000</v>
      </c>
      <c r="E6" s="18">
        <v>383699000000</v>
      </c>
      <c r="F6" s="8" t="s">
        <v>86</v>
      </c>
    </row>
    <row r="7" spans="1:6" x14ac:dyDescent="0.25">
      <c r="A7" t="s">
        <v>87</v>
      </c>
      <c r="B7" s="18">
        <v>29302000000</v>
      </c>
      <c r="C7" s="18">
        <v>30230000000</v>
      </c>
      <c r="D7" s="18">
        <v>29081000000</v>
      </c>
      <c r="E7" s="18">
        <v>28482000000</v>
      </c>
      <c r="F7" s="8" t="s">
        <v>88</v>
      </c>
    </row>
    <row r="8" spans="1:6" x14ac:dyDescent="0.25">
      <c r="A8" t="s">
        <v>89</v>
      </c>
      <c r="B8" s="18">
        <v>23564000000</v>
      </c>
      <c r="C8" s="18">
        <v>29172000000</v>
      </c>
      <c r="D8" s="18">
        <v>25093000000</v>
      </c>
      <c r="E8" s="18">
        <v>23751000000</v>
      </c>
      <c r="F8" s="8" t="s">
        <v>90</v>
      </c>
    </row>
    <row r="9" spans="1:6" x14ac:dyDescent="0.25">
      <c r="A9" t="s">
        <v>91</v>
      </c>
      <c r="B9" s="18">
        <v>-1887619000000</v>
      </c>
      <c r="C9" s="18">
        <v>-156202000000</v>
      </c>
      <c r="D9" s="18">
        <v>-413941000000</v>
      </c>
      <c r="E9" s="18">
        <v>-708497000000</v>
      </c>
      <c r="F9" s="8" t="s">
        <v>92</v>
      </c>
    </row>
    <row r="10" spans="1:6" x14ac:dyDescent="0.25">
      <c r="A10" t="s">
        <v>93</v>
      </c>
      <c r="B10" s="18">
        <v>3093481000000</v>
      </c>
      <c r="C10" s="18">
        <v>2866476000000</v>
      </c>
      <c r="D10" s="18">
        <v>2303457000000</v>
      </c>
      <c r="E10" s="18">
        <v>2012630000000</v>
      </c>
      <c r="F10" s="8" t="s">
        <v>94</v>
      </c>
    </row>
    <row r="11" spans="1:6" x14ac:dyDescent="0.25">
      <c r="A11" t="s">
        <v>95</v>
      </c>
      <c r="B11" s="18">
        <v>4254869000000</v>
      </c>
      <c r="C11" s="18">
        <v>3537201000000</v>
      </c>
      <c r="D11" s="18">
        <v>3948975000000</v>
      </c>
      <c r="E11" s="18">
        <v>3893624000000</v>
      </c>
      <c r="F11" s="8" t="s">
        <v>96</v>
      </c>
    </row>
    <row r="12" spans="1:6" x14ac:dyDescent="0.25">
      <c r="A12" t="s">
        <v>32</v>
      </c>
      <c r="B12" s="34">
        <v>260696923077</v>
      </c>
      <c r="C12" s="34">
        <v>256165648855</v>
      </c>
      <c r="D12" s="34">
        <v>253933587786</v>
      </c>
      <c r="E12" s="34">
        <v>253692968750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2026-09-19T00:10:28Z</dcterms:modified>
</cp:coreProperties>
</file>