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<sst xmlns="http://schemas.openxmlformats.org/spreadsheetml/2006/main" count="113" uniqueCount="101">
  <si>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China Mobile Limited (0941.HK)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</si>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</sst>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0.03864947562255727</v>
      </c>
    </row>
    <row r="7" spans="1:2" x14ac:dyDescent="0.25">
      <c r="A7" t="s">
        <v>5</v>
      </c>
      <c r="B7" s="6">
        <v>0.14729500788227334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0.19580702479189677</v>
      </c>
    </row>
    <row r="10" spans="1:2" x14ac:dyDescent="0.25">
      <c r="A10" t="s">
        <v>8</v>
      </c>
      <c r="B10" s="6">
        <v>0.170297835605285</v>
      </c>
    </row>
    <row r="11" spans="1:2" x14ac:dyDescent="0.25">
      <c r="A11" t="s">
        <v>9</v>
      </c>
      <c r="B11" s="6">
        <v>0.3112005551700208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4.3318520715620705</v>
      </c>
    </row>
    <row r="14" spans="1:3" x14ac:dyDescent="0.25">
      <c r="A14" t="s">
        <v>12</v>
      </c>
      <c r="B14" s="6">
        <v>0.09074263562891127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0.50353</v>
      </c>
      <c r="C19" s="8" t="s">
        <v>19</v>
      </c>
    </row>
    <row r="20" spans="1:2" x14ac:dyDescent="0.25">
      <c r="A20" t="s">
        <v>20</v>
      </c>
      <c r="B20" s="10">
        <f>B17+B19*B18</f>
        <v>0.0672471</v>
      </c>
    </row>
    <row r="21" spans="1:3" x14ac:dyDescent="0.25">
      <c r="A21" t="s">
        <v>21</v>
      </c>
      <c r="B21" s="6">
        <v>0.03356904434214481</v>
      </c>
      <c r="C21" s="8" t="s">
        <v>22</v>
      </c>
    </row>
    <row r="22" spans="1:2" x14ac:dyDescent="0.25">
      <c r="A22" t="s">
        <v>23</v>
      </c>
      <c r="B22" s="11">
        <v>1714096177152</v>
      </c>
    </row>
    <row r="23" spans="1:2" x14ac:dyDescent="0.25">
      <c r="A23" t="s">
        <v>24</v>
      </c>
      <c r="B23" s="11">
        <v>101197000000</v>
      </c>
    </row>
    <row r="24" spans="1:2" x14ac:dyDescent="0.25">
      <c r="A24" t="s">
        <v>25</v>
      </c>
      <c r="B24" s="10">
        <f>B22/(B22+B23)</f>
        <v>0.9442530819408647</v>
      </c>
    </row>
    <row r="25" spans="1:2" x14ac:dyDescent="0.25">
      <c r="A25" t="s">
        <v>26</v>
      </c>
      <c r="B25" s="10">
        <f>1-B24</f>
        <v>0.05574691805913534</v>
      </c>
    </row>
    <row r="26" spans="1:2" x14ac:dyDescent="0.25">
      <c r="A26" t="s">
        <v>27</v>
      </c>
      <c r="B26" s="12">
        <f>B24*B20+B25*B21*(1-B8)</f>
        <v>0.06506087601474682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1050187000000</v>
      </c>
      <c r="C29" s="8" t="s">
        <v>30</v>
      </c>
    </row>
    <row r="30" spans="1:2" x14ac:dyDescent="0.25">
      <c r="A30" t="s">
        <v>31</v>
      </c>
      <c r="B30" s="11">
        <v>-207556000000</v>
      </c>
    </row>
    <row r="31" spans="1:2" x14ac:dyDescent="0.25">
      <c r="A31" t="s">
        <v>32</v>
      </c>
      <c r="B31" s="13">
        <v>21644606612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0.03864947562255727</v>
      </c>
      <c r="C5" s="10">
        <f>Assumptions!B6</f>
        <v>0.03864947562255727</v>
      </c>
      <c r="D5" s="10">
        <f>Assumptions!B6</f>
        <v>0.03864947562255727</v>
      </c>
      <c r="E5" s="10">
        <f>Assumptions!B6</f>
        <v>0.03864947562255727</v>
      </c>
      <c r="F5" s="10">
        <f>Assumptions!B6</f>
        <v>0.03864947562255727</v>
      </c>
    </row>
    <row r="6" spans="1:6" x14ac:dyDescent="0.25">
      <c r="A6" t="s">
        <v>43</v>
      </c>
      <c r="B6" s="18">
        <f>Assumptions!B29*(1+B5)</f>
        <v>1090776176855.6266</v>
      </c>
      <c r="C6" s="18">
        <f>B6*(1+C5)</f>
        <v>1132934104112.6743</v>
      </c>
      <c r="D6" s="18">
        <f>C6*(1+D5)</f>
        <v>1176721413151.5408</v>
      </c>
      <c r="E6" s="18">
        <f>D6*(1+E5)</f>
        <v>1222201078723.6824</v>
      </c>
      <c r="F6" s="18">
        <f>E6*(1+F5)</f>
        <v>1269438509521.6765</v>
      </c>
    </row>
    <row r="7" spans="1:6" x14ac:dyDescent="0.25">
      <c r="A7" t="s">
        <v>5</v>
      </c>
      <c r="B7" s="10">
        <f>Assumptions!B7</f>
        <v>0.14729500788227334</v>
      </c>
      <c r="C7" s="10">
        <f>Assumptions!B7</f>
        <v>0.14729500788227334</v>
      </c>
      <c r="D7" s="10">
        <f>Assumptions!B7</f>
        <v>0.14729500788227334</v>
      </c>
      <c r="E7" s="10">
        <f>Assumptions!B7</f>
        <v>0.14729500788227334</v>
      </c>
      <c r="F7" s="10">
        <f>Assumptions!B7</f>
        <v>0.14729500788227334</v>
      </c>
    </row>
    <row r="8" spans="1:6" x14ac:dyDescent="0.25">
      <c r="A8" t="s">
        <v>44</v>
      </c>
      <c r="B8" s="18">
        <f>B6*B7</f>
        <v>160665885567.7455</v>
      </c>
      <c r="C8" s="18">
        <f>C6*C7</f>
        <v>166875537795.37265</v>
      </c>
      <c r="D8" s="18">
        <f>D6*D7</f>
        <v>173325189825.39603</v>
      </c>
      <c r="E8" s="18">
        <f>E6*E7</f>
        <v>180024117524.3278</v>
      </c>
      <c r="F8" s="18">
        <f>F6*F7</f>
        <v>186981955266.05667</v>
      </c>
    </row>
    <row r="9" spans="1:6" x14ac:dyDescent="0.25">
      <c r="A9" t="s">
        <v>45</v>
      </c>
      <c r="B9" s="18">
        <f>B8*(1-Assumptions!B8)</f>
        <v>134156014449.0675</v>
      </c>
      <c r="C9" s="18">
        <f>C8*(1-Assumptions!B8)</f>
        <v>139341074059.13617</v>
      </c>
      <c r="D9" s="18">
        <f>D8*(1-Assumptions!B8)</f>
        <v>144726533504.2057</v>
      </c>
      <c r="E9" s="18">
        <f>E8*(1-Assumptions!B8)</f>
        <v>150320138132.8137</v>
      </c>
      <c r="F9" s="18">
        <f>F8*(1-Assumptions!B8)</f>
        <v>156129932647.15732</v>
      </c>
    </row>
    <row r="10" spans="1:6" x14ac:dyDescent="0.25">
      <c r="A10" t="s">
        <v>46</v>
      </c>
      <c r="B10" s="18">
        <f>B6*Assumptions!B9</f>
        <v>213581637903.98004</v>
      </c>
      <c r="C10" s="18">
        <f>C6*Assumptions!B9</f>
        <v>221836456211.57578</v>
      </c>
      <c r="D10" s="18">
        <f>D6*Assumptions!B9</f>
        <v>230410318918.11954</v>
      </c>
      <c r="E10" s="18">
        <f>E6*Assumptions!B9</f>
        <v>239315556922.33105</v>
      </c>
      <c r="F10" s="18">
        <f>F6*Assumptions!B9</f>
        <v>248564977705.6994</v>
      </c>
    </row>
    <row r="11" spans="1:6" x14ac:dyDescent="0.25">
      <c r="A11" t="s">
        <v>47</v>
      </c>
      <c r="B11" s="18">
        <f>-B6*Assumptions!B10</f>
        <v>-185756822048.32077</v>
      </c>
      <c r="C11" s="18">
        <f>-C6*Assumptions!B10</f>
        <v>-192936225813.80106</v>
      </c>
      <c r="D11" s="18">
        <f>-D6*Assumptions!B10</f>
        <v>-200393109770.09973</v>
      </c>
      <c r="E11" s="18">
        <f>-E6*Assumptions!B10</f>
        <v>-208138198381.08765</v>
      </c>
      <c r="F11" s="18">
        <f>-F6*Assumptions!B10</f>
        <v>-216182630605.54047</v>
      </c>
    </row>
    <row r="12" spans="1:6" x14ac:dyDescent="0.25">
      <c r="A12" t="s">
        <v>48</v>
      </c>
      <c r="B12" s="18">
        <f>-(B6-Assumptions!B29)*Assumptions!B11</f>
        <v>-12631374371.365154</v>
      </c>
      <c r="C12" s="18">
        <f>-(C6-B6)*Assumptions!B11</f>
        <v>-13119570367.210606</v>
      </c>
      <c r="D12" s="18">
        <f>-(D6-C6)*Assumptions!B11</f>
        <v>-13626634882.29651</v>
      </c>
      <c r="E12" s="18">
        <f>-(E6-D6)*Assumptions!B11</f>
        <v>-14153297174.997349</v>
      </c>
      <c r="F12" s="18">
        <f>-(F6-E6)*Assumptions!B11</f>
        <v>-14700314689.141216</v>
      </c>
    </row>
    <row r="13" spans="1:6" x14ac:dyDescent="0.25">
      <c r="A13" s="19" t="s">
        <v>49</v>
      </c>
      <c r="B13" s="20">
        <f>B9+B10+B11+B12</f>
        <v>149349455933.36163</v>
      </c>
      <c r="C13" s="20">
        <f>C9+C10+C11+C12</f>
        <v>155121734089.70026</v>
      </c>
      <c r="D13" s="20">
        <f>D9+D10+D11+D12</f>
        <v>161117107769.92896</v>
      </c>
      <c r="E13" s="20">
        <f>E9+E10+E11+E12</f>
        <v>167344199499.05978</v>
      </c>
      <c r="F13" s="20">
        <f>F9+F10+F11+F12</f>
        <v>173811965058.17502</v>
      </c>
    </row>
    <row r="14" spans="1:6" x14ac:dyDescent="0.25">
      <c r="A14" t="s">
        <v>50</v>
      </c>
      <c r="B14" s="21">
        <f>1/(1+Assumptions!$B$26)^(1-0.5*Assumptions!$B$32)</f>
        <v>0.9689754730200744</v>
      </c>
      <c r="C14" s="21">
        <f>1/(1+Assumptions!$B$26)^(2-0.5*Assumptions!$B$32)</f>
        <v>0.9097841211159632</v>
      </c>
      <c r="D14" s="21">
        <f>1/(1+Assumptions!$B$26)^(3-0.5*Assumptions!$B$32)</f>
        <v>0.8542085636646428</v>
      </c>
      <c r="E14" s="21">
        <f>1/(1+Assumptions!$B$26)^(4-0.5*Assumptions!$B$32)</f>
        <v>0.8020279243200888</v>
      </c>
      <c r="F14" s="21">
        <f>1/(1+Assumptions!$B$26)^(5-0.5*Assumptions!$B$32)</f>
        <v>0.7530348193064074</v>
      </c>
    </row>
    <row r="15" spans="1:6" x14ac:dyDescent="0.25">
      <c r="A15" s="19" t="s">
        <v>51</v>
      </c>
      <c r="B15" s="20">
        <f>B13*B14</f>
        <v>144715959708.31985</v>
      </c>
      <c r="C15" s="20">
        <f>C13*C14</f>
        <v>141127290514.7821</v>
      </c>
      <c r="D15" s="20">
        <f>D13*D14</f>
        <v>137627613209.95248</v>
      </c>
      <c r="E15" s="20">
        <f>E13*E14</f>
        <v>134214720971.23778</v>
      </c>
      <c r="F15" s="20">
        <f>F13*F14</f>
        <v>130886461700.87442</v>
      </c>
    </row>
    <row r="17" spans="1:2" x14ac:dyDescent="0.25">
      <c r="A17" s="22" t="s">
        <v>52</v>
      </c>
      <c r="B17" s="23">
        <f>SUM(B15:F15)</f>
        <v>688572046105.1666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173811965058.17502</v>
      </c>
    </row>
    <row r="5" spans="1:2" x14ac:dyDescent="0.25">
      <c r="A5" t="s">
        <v>56</v>
      </c>
      <c r="B5" s="18">
        <f>IF(Assumptions!$B$33=0,B4,B4-Forecast!F11-Forecast!F10-Forecast!F12)</f>
        <v>156129932647.15732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0.27550445087617464</v>
      </c>
    </row>
    <row r="7" spans="1:2" x14ac:dyDescent="0.25">
      <c r="A7" t="s">
        <v>58</v>
      </c>
      <c r="B7" s="18">
        <f>-MAX(Forecast!F9,0)*B6</f>
        <v>-43014491359.28921</v>
      </c>
    </row>
    <row r="8" spans="1:2" x14ac:dyDescent="0.25">
      <c r="A8" t="s">
        <v>59</v>
      </c>
      <c r="B8" s="18">
        <f>IF(OR(Assumptions!$B$33=0,Assumptions!B12&lt;=0),B5,MAX(B5+B7,0))</f>
        <v>113115441287.8681</v>
      </c>
    </row>
    <row r="9" spans="1:2" x14ac:dyDescent="0.25">
      <c r="A9" t="s">
        <v>60</v>
      </c>
      <c r="B9" s="18">
        <f>B8*(1+Assumptions!B12)/(Assumptions!B26-Assumptions!B12)</f>
        <v>2894178531627.338</v>
      </c>
    </row>
    <row r="10" spans="1:2" x14ac:dyDescent="0.25">
      <c r="A10" t="s">
        <v>61</v>
      </c>
      <c r="B10" s="18">
        <f>B9/(1+Assumptions!B26)^(5-0.5*Assumptions!B32)</f>
        <v>2179417207604.4758</v>
      </c>
    </row>
    <row r="11" spans="1:2" x14ac:dyDescent="0.25">
      <c r="A11" t="s">
        <v>62</v>
      </c>
      <c r="B11" s="18">
        <f>Forecast!B17+B10</f>
        <v>2867989253709.6426</v>
      </c>
    </row>
    <row r="12" spans="1:2" x14ac:dyDescent="0.25">
      <c r="A12" t="s">
        <v>63</v>
      </c>
      <c r="B12" s="18">
        <f>-Assumptions!B30</f>
        <v>207556000000</v>
      </c>
    </row>
    <row r="13" spans="1:2" x14ac:dyDescent="0.25">
      <c r="A13" t="s">
        <v>64</v>
      </c>
      <c r="B13" s="18">
        <f>B11+B12</f>
        <v>3075545253709.6426</v>
      </c>
    </row>
    <row r="14" spans="1:2" x14ac:dyDescent="0.25">
      <c r="A14" s="19" t="s">
        <v>65</v>
      </c>
      <c r="B14" s="24">
        <f>B13/Assumptions!B31</f>
        <v>142.0929152856272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435546932971.7561</v>
      </c>
    </row>
    <row r="18" spans="1:2" x14ac:dyDescent="0.25">
      <c r="A18" t="s">
        <v>60</v>
      </c>
      <c r="B18" s="18">
        <f>B17*Assumptions!B13</f>
        <v>1886724883856.208</v>
      </c>
    </row>
    <row r="19" spans="1:2" x14ac:dyDescent="0.25">
      <c r="A19" t="s">
        <v>61</v>
      </c>
      <c r="B19" s="18">
        <f>B18/(1+Assumptions!B26)^(5-0.5*Assumptions!B32)</f>
        <v>1420769531995.562</v>
      </c>
    </row>
    <row r="20" spans="1:2" x14ac:dyDescent="0.25">
      <c r="A20" t="s">
        <v>62</v>
      </c>
      <c r="B20" s="18">
        <f>Forecast!B17+B19</f>
        <v>2109341578100.7285</v>
      </c>
    </row>
    <row r="21" spans="1:2" x14ac:dyDescent="0.25">
      <c r="A21" t="s">
        <v>63</v>
      </c>
      <c r="B21" s="18">
        <f>-Assumptions!B30</f>
        <v>207556000000</v>
      </c>
    </row>
    <row r="22" spans="1:2" x14ac:dyDescent="0.25">
      <c r="A22" t="s">
        <v>64</v>
      </c>
      <c r="B22" s="18">
        <f>B20+B21</f>
        <v>2316897578100.7285</v>
      </c>
    </row>
    <row r="23" spans="1:2" x14ac:dyDescent="0.25">
      <c r="A23" s="19" t="s">
        <v>65</v>
      </c>
      <c r="B23" s="25">
        <f>B22/Assumptions!B31</f>
        <v>107.04272060164013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79.05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166.36238521641235</v>
      </c>
    </row>
    <row r="29" spans="1:2" x14ac:dyDescent="0.25">
      <c r="A29" s="19" t="s">
        <v>73</v>
      </c>
      <c r="B29" s="12">
        <f>B28/B26-1</f>
        <v>1.104521002105153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0.045061</v>
      </c>
      <c r="B5" s="31">
        <v>209.6472659305067</v>
      </c>
      <c r="C5" s="31">
        <v>230.62888556121257</v>
      </c>
      <c r="D5" s="31">
        <v>261.90693337905833</v>
      </c>
      <c r="E5" s="31">
        <v>313.73613502026353</v>
      </c>
      <c r="F5" s="31">
        <v>416.75631827037523</v>
      </c>
    </row>
    <row r="6" spans="1:6" x14ac:dyDescent="0.25">
      <c r="A6" s="30">
        <v>0.055061</v>
      </c>
      <c r="B6" s="31">
        <v>162.00480140497464</v>
      </c>
      <c r="C6" s="31">
        <v>170.68702121382523</v>
      </c>
      <c r="D6" s="31">
        <v>182.15355906746007</v>
      </c>
      <c r="E6" s="31">
        <v>198.07093947295257</v>
      </c>
      <c r="F6" s="31">
        <v>221.76714400040703</v>
      </c>
    </row>
    <row r="7" spans="1:6" x14ac:dyDescent="0.25">
      <c r="A7" s="30">
        <v>0.065061</v>
      </c>
      <c r="B7" s="31">
        <v>133.32969725120577</v>
      </c>
      <c r="C7" s="31">
        <v>137.25816465107758</v>
      </c>
      <c r="D7" s="32">
        <v>142.09254183647428</v>
      </c>
      <c r="E7" s="31">
        <v>148.22040037645772</v>
      </c>
      <c r="F7" s="31">
        <v>156.2871685774314</v>
      </c>
    </row>
    <row r="8" spans="1:6" x14ac:dyDescent="0.25">
      <c r="A8" s="30">
        <v>0.075061</v>
      </c>
      <c r="B8" s="31">
        <v>114.15117513283577</v>
      </c>
      <c r="C8" s="31">
        <v>115.90111642943147</v>
      </c>
      <c r="D8" s="31">
        <v>117.94329418682086</v>
      </c>
      <c r="E8" s="31">
        <v>120.37498868977144</v>
      </c>
      <c r="F8" s="31">
        <v>123.34204630216371</v>
      </c>
    </row>
    <row r="9" spans="1:6" x14ac:dyDescent="0.25">
      <c r="A9" s="30">
        <v>0.085061</v>
      </c>
      <c r="B9" s="31">
        <v>100.40542547408461</v>
      </c>
      <c r="C9" s="31">
        <v>101.05298115190755</v>
      </c>
      <c r="D9" s="31">
        <v>101.76252221499132</v>
      </c>
      <c r="E9" s="31">
        <v>102.55093503988041</v>
      </c>
      <c r="F9" s="31">
        <v>103.44185232322641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1050187000000</v>
      </c>
      <c r="C5" s="18">
        <v>1040759000000</v>
      </c>
      <c r="D5" s="18">
        <v>1009309000000</v>
      </c>
      <c r="E5" s="18">
        <v>937259000000</v>
      </c>
      <c r="F5" s="8" t="s">
        <v>84</v>
      </c>
    </row>
    <row r="6" spans="1:6" x14ac:dyDescent="0.25">
      <c r="A6" t="s">
        <v>44</v>
      </c>
      <c r="B6" s="18">
        <v>157783000000</v>
      </c>
      <c r="C6" s="18">
        <v>158037000000</v>
      </c>
      <c r="D6" s="18">
        <v>144425000000</v>
      </c>
      <c r="E6" s="18">
        <v>134962000000</v>
      </c>
      <c r="F6" s="8" t="s">
        <v>85</v>
      </c>
    </row>
    <row r="7" spans="1:6" x14ac:dyDescent="0.25">
      <c r="A7" t="s">
        <v>86</v>
      </c>
      <c r="B7" s="18">
        <v>189999000000</v>
      </c>
      <c r="C7" s="18">
        <v>191101000000</v>
      </c>
      <c r="D7" s="18">
        <v>207132000000</v>
      </c>
      <c r="E7" s="18">
        <v>200077000000</v>
      </c>
      <c r="F7" s="8" t="s">
        <v>87</v>
      </c>
    </row>
    <row r="8" spans="1:6" x14ac:dyDescent="0.25">
      <c r="A8" t="s">
        <v>88</v>
      </c>
      <c r="B8" s="18">
        <v>156951000000</v>
      </c>
      <c r="C8" s="18">
        <v>155979000000</v>
      </c>
      <c r="D8" s="18">
        <v>181263000000</v>
      </c>
      <c r="E8" s="18">
        <v>189588000000</v>
      </c>
      <c r="F8" s="8" t="s">
        <v>89</v>
      </c>
    </row>
    <row r="9" spans="1:6" x14ac:dyDescent="0.25">
      <c r="A9" t="s">
        <v>90</v>
      </c>
      <c r="B9" s="18">
        <v>70369000000</v>
      </c>
      <c r="C9" s="18">
        <v>-2457000000</v>
      </c>
      <c r="D9" s="18">
        <v>22422000000</v>
      </c>
      <c r="E9" s="18">
        <v>22811000000</v>
      </c>
      <c r="F9" s="8" t="s">
        <v>91</v>
      </c>
    </row>
    <row r="10" spans="1:6" x14ac:dyDescent="0.25">
      <c r="A10" t="s">
        <v>92</v>
      </c>
      <c r="B10" s="18">
        <v>101197000000</v>
      </c>
      <c r="C10" s="18">
        <v>88442000000</v>
      </c>
      <c r="D10" s="18">
        <v>102934000000</v>
      </c>
      <c r="E10" s="18">
        <v>112660000000</v>
      </c>
      <c r="F10" s="8" t="s">
        <v>93</v>
      </c>
    </row>
    <row r="11" spans="1:6" x14ac:dyDescent="0.25">
      <c r="A11" t="s">
        <v>94</v>
      </c>
      <c r="B11" s="18">
        <v>308753000000</v>
      </c>
      <c r="C11" s="18">
        <v>404074000000</v>
      </c>
      <c r="D11" s="18">
        <v>363923000000</v>
      </c>
      <c r="E11" s="18">
        <v>345611000000</v>
      </c>
      <c r="F11" s="8" t="s">
        <v>95</v>
      </c>
    </row>
    <row r="12" spans="1:6" x14ac:dyDescent="0.25">
      <c r="A12" t="s">
        <v>32</v>
      </c>
      <c r="B12" s="34">
        <v>21644606612</v>
      </c>
      <c r="C12" s="34">
        <v>21542759453</v>
      </c>
      <c r="D12" s="34">
        <v>21408818755</v>
      </c>
      <c r="E12" s="34">
        <v>21346970167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2026-09-19T00:08:44Z</dcterms:modified>
</cp:coreProperties>
</file>