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<sst xmlns="http://schemas.openxmlformats.org/spreadsheetml/2006/main" count="117" uniqueCount="105">
  <si>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Longfor Group Holdings Limited (0960.HK)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</si>
  <si>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</si>
  <si>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</si>
  <si>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</si>
  <si>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</si>
  <si>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</si>
  <si>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</si>
  <si>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</si>
  <si>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</si>
  <si>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</si>
  <si>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</si>
  <si>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</si>
  <si>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</si>
  <si>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</si>
  <si>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</si>
  <si>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</si>
  <si>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</si>
  <si>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</si>
  <si>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</si>
  <si>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</si>
  <si>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</si>
  <si>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</si>
  <si>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</si>
  <si>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</si>
  <si>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</si>
  <si>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</si>
  <si>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</si>
  <si>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</si>
  <si>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</si>
  <si>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</si>
  <si>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</si>
  <si>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</si>
  <si>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</si>
  <si>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</si>
  <si>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</si>
  <si>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</si>
  <si>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</si>
  <si>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</si>
  <si>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</si>
  <si>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</si>
  <si>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</si>
  <si>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</si>
  <si>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</si>
  <si>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</si>
  <si>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</si>
  <si>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</si>
  <si>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</si>
  <si>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</si>
  <si>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</si>
  <si>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</si>
  <si>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</si>
  <si>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</si>
  <si>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</si>
  <si>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</si>
  <si>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</si>
  <si>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</si>
  <si>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</si>
  <si>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</si>
  <si>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</si>
  <si>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</si>
  <si>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</si>
  <si>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</si>
  <si>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</si>
  <si>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</si>
  <si>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</si>
  <si>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</si>
  <si>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</si>
  <si>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</si>
  <si>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</si>
  <si>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</si>
  <si>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</si>
  <si>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</si>
  <si>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</si>
  <si>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</si>
  <si>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</si>
  <si>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</si>
  <si>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</si>
  <si>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</si>
  <si>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</si>
  <si>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</si>
  <si>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</si>
  <si>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</si>
  <si>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</si>
  <si>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</si>
  <si>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</si>
  <si>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</si>
  <si>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</si>
  <si>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</si>
  <si>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</si>
  <si>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</si>
  <si>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</si>
  <si>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</si>
  <si>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</si>
  <si>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</si>
  <si>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</si>
  <si>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</si>
  <si>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</si>
  <si>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</si>
  <si>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</si>
  <si>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</si>
  <si>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Reported capital expenditure averages just 0.23%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</si>
  <si>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</si>
  <si>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</si>
  <si>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56.0x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</si>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</sst>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-0.2704132747027709</v>
      </c>
    </row>
    <row r="7" spans="1:2" x14ac:dyDescent="0.25">
      <c r="A7" t="s">
        <v>5</v>
      </c>
      <c r="B7" s="6">
        <v>0.09956103827647769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0.0027933288638791556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0.46441576033717485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0.05033363663425368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1.6934500000000003</v>
      </c>
      <c r="C19" s="8" t="s">
        <v>19</v>
      </c>
    </row>
    <row r="20" spans="1:2" x14ac:dyDescent="0.25">
      <c r="A20" t="s">
        <v>20</v>
      </c>
      <c r="B20" s="10">
        <f>B17+B19*B18</f>
        <v>0.15054150000000005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39103332352</v>
      </c>
    </row>
    <row r="23" spans="1:2" x14ac:dyDescent="0.25">
      <c r="A23" t="s">
        <v>24</v>
      </c>
      <c r="B23" s="11">
        <v>165940615000</v>
      </c>
    </row>
    <row r="24" spans="1:2" x14ac:dyDescent="0.25">
      <c r="A24" t="s">
        <v>25</v>
      </c>
      <c r="B24" s="10">
        <f>B22/(B22+B23)</f>
        <v>0.1907070794187897</v>
      </c>
    </row>
    <row r="25" spans="1:2" x14ac:dyDescent="0.25">
      <c r="A25" t="s">
        <v>26</v>
      </c>
      <c r="B25" s="10">
        <f>1-B24</f>
        <v>0.8092929205812103</v>
      </c>
    </row>
    <row r="26" spans="1:2" x14ac:dyDescent="0.25">
      <c r="A26" t="s">
        <v>27</v>
      </c>
      <c r="B26" s="12">
        <f>B24*B20+B25*B21*(1-B8)</f>
        <v>0.05033363663425368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97308631000</v>
      </c>
      <c r="C29" s="8" t="s">
        <v>30</v>
      </c>
    </row>
    <row r="30" spans="1:2" x14ac:dyDescent="0.25">
      <c r="A30" t="s">
        <v>31</v>
      </c>
      <c r="B30" s="11">
        <v>144713238000</v>
      </c>
    </row>
    <row r="31" spans="1:2" x14ac:dyDescent="0.25">
      <c r="A31" t="s">
        <v>32</v>
      </c>
      <c r="B31" s="13">
        <v>6815550000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-0.2704132747027709</v>
      </c>
      <c r="C5" s="10">
        <f>Assumptions!B6</f>
        <v>-0.2704132747027709</v>
      </c>
      <c r="D5" s="10">
        <f>Assumptions!B6</f>
        <v>-0.2704132747027709</v>
      </c>
      <c r="E5" s="10">
        <f>Assumptions!B6</f>
        <v>-0.2704132747027709</v>
      </c>
      <c r="F5" s="10">
        <f>Assumptions!B6</f>
        <v>-0.2704132747027709</v>
      </c>
    </row>
    <row r="6" spans="1:6" x14ac:dyDescent="0.25">
      <c r="A6" t="s">
        <v>43</v>
      </c>
      <c r="B6" s="18">
        <f>Assumptions!B29*(1+B5)</f>
        <v>70995085434.44643</v>
      </c>
      <c r="C6" s="18">
        <f>B6*(1+C5)</f>
        <v>51797071894.31477</v>
      </c>
      <c r="D6" s="18">
        <f>C6*(1+D5)</f>
        <v>37790456063.35826</v>
      </c>
      <c r="E6" s="18">
        <f>D6*(1+E5)</f>
        <v>27571415086.75437</v>
      </c>
      <c r="F6" s="18">
        <f>E6*(1+F5)</f>
        <v>20115738444.95574</v>
      </c>
    </row>
    <row r="7" spans="1:6" x14ac:dyDescent="0.25">
      <c r="A7" t="s">
        <v>5</v>
      </c>
      <c r="B7" s="10">
        <f>Assumptions!B7</f>
        <v>0.09956103827647769</v>
      </c>
      <c r="C7" s="10">
        <f>Assumptions!B7</f>
        <v>0.09956103827647769</v>
      </c>
      <c r="D7" s="10">
        <f>Assumptions!B7</f>
        <v>0.09956103827647769</v>
      </c>
      <c r="E7" s="10">
        <f>Assumptions!B7</f>
        <v>0.09956103827647769</v>
      </c>
      <c r="F7" s="10">
        <f>Assumptions!B7</f>
        <v>0.09956103827647769</v>
      </c>
    </row>
    <row r="8" spans="1:6" x14ac:dyDescent="0.25">
      <c r="A8" t="s">
        <v>44</v>
      </c>
      <c r="B8" s="18">
        <f>B6*B7</f>
        <v>7068344418.380725</v>
      </c>
      <c r="C8" s="18">
        <f>C6*C7</f>
        <v>5156970257.47934</v>
      </c>
      <c r="D8" s="18">
        <f>D6*D7</f>
        <v>3762457042.6095605</v>
      </c>
      <c r="E8" s="18">
        <f>E6*E7</f>
        <v>2745038712.7890067</v>
      </c>
      <c r="F8" s="18">
        <f>F6*F7</f>
        <v>2002743805.2778525</v>
      </c>
    </row>
    <row r="9" spans="1:6" x14ac:dyDescent="0.25">
      <c r="A9" t="s">
        <v>45</v>
      </c>
      <c r="B9" s="18">
        <f>B8*(1-Assumptions!B8)</f>
        <v>5902067589.347905</v>
      </c>
      <c r="C9" s="18">
        <f>C8*(1-Assumptions!B8)</f>
        <v>4306070164.995249</v>
      </c>
      <c r="D9" s="18">
        <f>D8*(1-Assumptions!B8)</f>
        <v>3141651630.578983</v>
      </c>
      <c r="E9" s="18">
        <f>E8*(1-Assumptions!B8)</f>
        <v>2292107325.1788206</v>
      </c>
      <c r="F9" s="18">
        <f>F8*(1-Assumptions!B8)</f>
        <v>1672291077.4070067</v>
      </c>
    </row>
    <row r="10" spans="1:6" x14ac:dyDescent="0.25">
      <c r="A10" t="s">
        <v>46</v>
      </c>
      <c r="B10" s="18">
        <f>B6*Assumptions!B9</f>
        <v>198312621.33760583</v>
      </c>
      <c r="C10" s="18">
        <f>C6*Assumptions!B9</f>
        <v>144686255.98681322</v>
      </c>
      <c r="D10" s="18">
        <f>D6*Assumptions!B9</f>
        <v>105561171.70093568</v>
      </c>
      <c r="E10" s="18">
        <f>E6*Assumptions!B9</f>
        <v>77016029.5798242</v>
      </c>
      <c r="F10" s="18">
        <f>F6*Assumptions!B9</f>
        <v>56189872.816538475</v>
      </c>
    </row>
    <row r="11" spans="1:6" x14ac:dyDescent="0.25">
      <c r="A11" t="s">
        <v>47</v>
      </c>
      <c r="B11" s="18">
        <f>-B6*Assumptions!B10</f>
        <v>-709950854.3444643</v>
      </c>
      <c r="C11" s="18">
        <f>-C6*Assumptions!B10</f>
        <v>-517970718.9431477</v>
      </c>
      <c r="D11" s="18">
        <f>-D6*Assumptions!B10</f>
        <v>-377904560.6335826</v>
      </c>
      <c r="E11" s="18">
        <f>-E6*Assumptions!B10</f>
        <v>-275714150.8675437</v>
      </c>
      <c r="F11" s="18">
        <f>-F6*Assumptions!B10</f>
        <v>-201157384.44955742</v>
      </c>
    </row>
    <row r="12" spans="1:6" x14ac:dyDescent="0.25">
      <c r="A12" t="s">
        <v>48</v>
      </c>
      <c r="B12" s="18">
        <f>-(B6-Assumptions!B29)*Assumptions!B11</f>
        <v>12220425270.993458</v>
      </c>
      <c r="C12" s="18">
        <f>-(C6-B6)*Assumptions!B11</f>
        <v>8915860055.203619</v>
      </c>
      <c r="D12" s="18">
        <f>-(D6-C6)*Assumptions!B11</f>
        <v>6504893140.884379</v>
      </c>
      <c r="E12" s="18">
        <f>-(E6-D6)*Assumptions!B11</f>
        <v>4745883685.066241</v>
      </c>
      <c r="F12" s="18">
        <f>-(F6-E6)*Assumptions!B11</f>
        <v>3462533736.429025</v>
      </c>
    </row>
    <row r="13" spans="1:6" x14ac:dyDescent="0.25">
      <c r="A13" s="19" t="s">
        <v>49</v>
      </c>
      <c r="B13" s="20">
        <f>B9+B10+B11+B12</f>
        <v>17610854627.334503</v>
      </c>
      <c r="C13" s="20">
        <f>C9+C10+C11+C12</f>
        <v>12848645757.242535</v>
      </c>
      <c r="D13" s="20">
        <f>D9+D10+D11+D12</f>
        <v>9374201382.530716</v>
      </c>
      <c r="E13" s="20">
        <f>E9+E10+E11+E12</f>
        <v>6839292888.957342</v>
      </c>
      <c r="F13" s="20">
        <f>F9+F10+F11+F12</f>
        <v>4989857302.203012</v>
      </c>
    </row>
    <row r="14" spans="1:6" x14ac:dyDescent="0.25">
      <c r="A14" t="s">
        <v>50</v>
      </c>
      <c r="B14" s="21">
        <f>1/(1+Assumptions!$B$26)^(1-0.5*Assumptions!$B$32)</f>
        <v>0.9757450641662248</v>
      </c>
      <c r="C14" s="21">
        <f>1/(1+Assumptions!$B$26)^(2-0.5*Assumptions!$B$32)</f>
        <v>0.9289858290104421</v>
      </c>
      <c r="D14" s="21">
        <f>1/(1+Assumptions!$B$26)^(3-0.5*Assumptions!$B$32)</f>
        <v>0.8844673698038797</v>
      </c>
      <c r="E14" s="21">
        <f>1/(1+Assumptions!$B$26)^(4-0.5*Assumptions!$B$32)</f>
        <v>0.8420823050455806</v>
      </c>
      <c r="F14" s="21">
        <f>1/(1+Assumptions!$B$26)^(5-0.5*Assumptions!$B$32)</f>
        <v>0.8017283991246771</v>
      </c>
    </row>
    <row r="15" spans="1:6" x14ac:dyDescent="0.25">
      <c r="A15" s="19" t="s">
        <v>51</v>
      </c>
      <c r="B15" s="20">
        <f>B13*B14</f>
        <v>17183704478.37056</v>
      </c>
      <c r="C15" s="20">
        <f>C13*C14</f>
        <v>11936209830.453457</v>
      </c>
      <c r="D15" s="20">
        <f>D13*D14</f>
        <v>8291175240.818835</v>
      </c>
      <c r="E15" s="20">
        <f>E13*E14</f>
        <v>5759247520.815046</v>
      </c>
      <c r="F15" s="20">
        <f>F13*F14</f>
        <v>4000510306.755801</v>
      </c>
    </row>
    <row r="17" spans="1:2" x14ac:dyDescent="0.25">
      <c r="A17" s="22" t="s">
        <v>52</v>
      </c>
      <c r="B17" s="23">
        <f>SUM(B15:F15)</f>
        <v>47170847377.2137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4989857302.203012</v>
      </c>
    </row>
    <row r="5" spans="1:2" x14ac:dyDescent="0.25">
      <c r="A5" t="s">
        <v>56</v>
      </c>
      <c r="B5" s="18">
        <f>IF(Assumptions!$B$33=0,B4,B4-Forecast!F11-Forecast!F10-Forecast!F12)</f>
        <v>1696092518.511395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0.4966857487699724</v>
      </c>
    </row>
    <row r="7" spans="1:2" x14ac:dyDescent="0.25">
      <c r="A7" t="s">
        <v>58</v>
      </c>
      <c r="B7" s="18">
        <f>-MAX(Forecast!F9,0)*B6</f>
        <v>-842424982.5399805</v>
      </c>
    </row>
    <row r="8" spans="1:2" x14ac:dyDescent="0.25">
      <c r="A8" t="s">
        <v>59</v>
      </c>
      <c r="B8" s="18">
        <f>IF(OR(Assumptions!$B$33=0,Assumptions!B12&lt;=0),B5,MAX(B5+B7,0))</f>
        <v>853667535.9714144</v>
      </c>
    </row>
    <row r="9" spans="1:2" x14ac:dyDescent="0.25">
      <c r="A9" t="s">
        <v>60</v>
      </c>
      <c r="B9" s="18">
        <f>B8*(1+Assumptions!B12)/(Assumptions!B26-Assumptions!B12)</f>
        <v>34539424284.13919</v>
      </c>
    </row>
    <row r="10" spans="1:2" x14ac:dyDescent="0.25">
      <c r="A10" t="s">
        <v>61</v>
      </c>
      <c r="B10" s="18">
        <f>B9/(1+Assumptions!B26)^(5-0.5*Assumptions!B32)</f>
        <v>27691237338.01091</v>
      </c>
    </row>
    <row r="11" spans="1:2" x14ac:dyDescent="0.25">
      <c r="A11" t="s">
        <v>62</v>
      </c>
      <c r="B11" s="18">
        <f>Forecast!B17+B10</f>
        <v>74862084715.22461</v>
      </c>
    </row>
    <row r="12" spans="1:2" x14ac:dyDescent="0.25">
      <c r="A12" t="s">
        <v>63</v>
      </c>
      <c r="B12" s="18">
        <f>-Assumptions!B30</f>
        <v>-144713238000</v>
      </c>
    </row>
    <row r="13" spans="1:2" x14ac:dyDescent="0.25">
      <c r="A13" t="s">
        <v>64</v>
      </c>
      <c r="B13" s="18">
        <f>B11+B12</f>
        <v>-69851153284.77539</v>
      </c>
    </row>
    <row r="14" spans="1:2" x14ac:dyDescent="0.25">
      <c r="A14" s="19" t="s">
        <v>65</v>
      </c>
      <c r="B14" s="24">
        <f>B13/Assumptions!B31</f>
        <v>-10.24879184875401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2058933678.094391</v>
      </c>
    </row>
    <row r="18" spans="1:2" x14ac:dyDescent="0.25">
      <c r="A18" t="s">
        <v>60</v>
      </c>
      <c r="B18" s="18">
        <f>B17*Assumptions!B13</f>
        <v>41178673561.887825</v>
      </c>
    </row>
    <row r="19" spans="1:2" x14ac:dyDescent="0.25">
      <c r="A19" t="s">
        <v>61</v>
      </c>
      <c r="B19" s="18">
        <f>B18/(1+Assumptions!B26)^(5-0.5*Assumptions!B32)</f>
        <v>33014112032.84999</v>
      </c>
    </row>
    <row r="20" spans="1:2" x14ac:dyDescent="0.25">
      <c r="A20" t="s">
        <v>62</v>
      </c>
      <c r="B20" s="18">
        <f>Forecast!B17+B19</f>
        <v>80184959410.06369</v>
      </c>
    </row>
    <row r="21" spans="1:2" x14ac:dyDescent="0.25">
      <c r="A21" t="s">
        <v>63</v>
      </c>
      <c r="B21" s="18">
        <f>-Assumptions!B30</f>
        <v>-144713238000</v>
      </c>
    </row>
    <row r="22" spans="1:2" x14ac:dyDescent="0.25">
      <c r="A22" t="s">
        <v>64</v>
      </c>
      <c r="B22" s="18">
        <f>B20+B21</f>
        <v>-64528278589.93631</v>
      </c>
    </row>
    <row r="23" spans="1:2" x14ac:dyDescent="0.25">
      <c r="A23" s="19" t="s">
        <v>65</v>
      </c>
      <c r="B23" s="25">
        <f>B22/Assumptions!B31</f>
        <v>-9.467802098133872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5.68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-11.999285496521196</v>
      </c>
    </row>
    <row r="29" spans="1:2" x14ac:dyDescent="0.25">
      <c r="A29" s="19" t="s">
        <v>73</v>
      </c>
      <c r="B29" s="12">
        <f>B28/B26-1</f>
        <v>-3.1125502634720417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0.030334</v>
      </c>
      <c r="B5" s="31">
        <v>-5.220565628153794</v>
      </c>
      <c r="C5" s="31">
        <v>-3.638541346393605</v>
      </c>
      <c r="D5" s="31">
        <v>0.8569536826792717</v>
      </c>
      <c r="E5" s="31">
        <v>139.1104140988556</v>
      </c>
      <c r="F5" s="31" t="s">
        <v>76</v>
      </c>
    </row>
    <row r="6" spans="1:6" x14ac:dyDescent="0.25">
      <c r="A6" s="30">
        <v>0.040334</v>
      </c>
      <c r="B6" s="31">
        <v>-8.948685413577484</v>
      </c>
      <c r="C6" s="31">
        <v>-8.922864608717644</v>
      </c>
      <c r="D6" s="31">
        <v>-8.897043803857803</v>
      </c>
      <c r="E6" s="31">
        <v>-8.871222998997963</v>
      </c>
      <c r="F6" s="31">
        <v>-8.845402194138124</v>
      </c>
    </row>
    <row r="7" spans="1:6" x14ac:dyDescent="0.25">
      <c r="A7" s="30">
        <v>0.050334</v>
      </c>
      <c r="B7" s="31">
        <v>-10.288470025201525</v>
      </c>
      <c r="C7" s="31">
        <v>-10.26865093193834</v>
      </c>
      <c r="D7" s="32">
        <v>-10.248831838675155</v>
      </c>
      <c r="E7" s="31">
        <v>-10.22901274541197</v>
      </c>
      <c r="F7" s="31">
        <v>-10.209193652148787</v>
      </c>
    </row>
    <row r="8" spans="1:6" x14ac:dyDescent="0.25">
      <c r="A8" s="30">
        <v>0.060334</v>
      </c>
      <c r="B8" s="31">
        <v>-11.212598269074416</v>
      </c>
      <c r="C8" s="31">
        <v>-11.1967542840894</v>
      </c>
      <c r="D8" s="31">
        <v>-11.180910299104383</v>
      </c>
      <c r="E8" s="31">
        <v>-11.165066314119368</v>
      </c>
      <c r="F8" s="31">
        <v>-11.149222329134352</v>
      </c>
    </row>
    <row r="9" spans="1:6" x14ac:dyDescent="0.25">
      <c r="A9" s="30">
        <v>0.070334</v>
      </c>
      <c r="B9" s="31">
        <v>-11.897137097978343</v>
      </c>
      <c r="C9" s="31">
        <v>-11.884107939354662</v>
      </c>
      <c r="D9" s="31">
        <v>-11.871078780730983</v>
      </c>
      <c r="E9" s="31">
        <v>-11.8580496221073</v>
      </c>
      <c r="F9" s="31">
        <v>-11.84502046348362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97308631000</v>
      </c>
      <c r="C5" s="18">
        <v>127474948000</v>
      </c>
      <c r="D5" s="18">
        <v>180736575000</v>
      </c>
      <c r="E5" s="18">
        <v>250565107000</v>
      </c>
      <c r="F5" s="8" t="s">
        <v>85</v>
      </c>
    </row>
    <row r="6" spans="1:6" x14ac:dyDescent="0.25">
      <c r="A6" t="s">
        <v>44</v>
      </c>
      <c r="B6" s="18">
        <v>2957276000</v>
      </c>
      <c r="C6" s="18">
        <v>11858466000</v>
      </c>
      <c r="D6" s="18">
        <v>19989974000</v>
      </c>
      <c r="E6" s="18">
        <v>41149004000</v>
      </c>
      <c r="F6" s="8" t="s">
        <v>86</v>
      </c>
    </row>
    <row r="7" spans="1:6" x14ac:dyDescent="0.25">
      <c r="A7" t="s">
        <v>87</v>
      </c>
      <c r="B7" s="18">
        <v>324654000</v>
      </c>
      <c r="C7" s="18">
        <v>356349000</v>
      </c>
      <c r="D7" s="18">
        <v>474340000</v>
      </c>
      <c r="E7" s="18">
        <v>605630000</v>
      </c>
      <c r="F7" s="8" t="s">
        <v>88</v>
      </c>
    </row>
    <row r="8" spans="1:6" x14ac:dyDescent="0.25">
      <c r="A8" t="s">
        <v>89</v>
      </c>
      <c r="B8" s="18">
        <v>48372000</v>
      </c>
      <c r="C8" s="18">
        <v>336627000</v>
      </c>
      <c r="D8" s="18">
        <v>866852000</v>
      </c>
      <c r="E8" s="18">
        <v>311813000</v>
      </c>
      <c r="F8" s="8" t="s">
        <v>90</v>
      </c>
    </row>
    <row r="9" spans="1:6" x14ac:dyDescent="0.25">
      <c r="A9" t="s">
        <v>91</v>
      </c>
      <c r="B9" s="18">
        <v>-22690048000</v>
      </c>
      <c r="C9" s="18">
        <v>-24735539000</v>
      </c>
      <c r="D9" s="18">
        <v>-23116331000</v>
      </c>
      <c r="E9" s="18">
        <v>16477605000</v>
      </c>
      <c r="F9" s="8" t="s">
        <v>92</v>
      </c>
    </row>
    <row r="10" spans="1:6" x14ac:dyDescent="0.25">
      <c r="A10" t="s">
        <v>93</v>
      </c>
      <c r="B10" s="18">
        <v>165940615000</v>
      </c>
      <c r="C10" s="18">
        <v>190263097000</v>
      </c>
      <c r="D10" s="18">
        <v>207477775000</v>
      </c>
      <c r="E10" s="18">
        <v>222871446000</v>
      </c>
      <c r="F10" s="8" t="s">
        <v>94</v>
      </c>
    </row>
    <row r="11" spans="1:6" x14ac:dyDescent="0.25">
      <c r="A11" t="s">
        <v>95</v>
      </c>
      <c r="B11" s="18">
        <v>21227377000</v>
      </c>
      <c r="C11" s="18">
        <v>38401280000</v>
      </c>
      <c r="D11" s="18">
        <v>51273351000</v>
      </c>
      <c r="E11" s="18">
        <v>64628549000</v>
      </c>
      <c r="F11" s="8" t="s">
        <v>96</v>
      </c>
    </row>
    <row r="12" spans="1:6" x14ac:dyDescent="0.25">
      <c r="A12" t="s">
        <v>32</v>
      </c>
      <c r="B12" s="34">
        <v>6815550000</v>
      </c>
      <c r="C12" s="34">
        <v>6609262000</v>
      </c>
      <c r="D12" s="34">
        <v>6234403000</v>
      </c>
      <c r="E12" s="34">
        <v>6010236000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38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2026-09-19T00:09:36Z</dcterms:modified>
</cp:coreProperties>
</file>