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<sst xmlns="http://schemas.openxmlformats.org/spreadsheetml/2006/main" count="123" uniqueCount="110">
  <si>
    <t>Xinyi Solar Holdings Limited (0968.HK)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</si>
  <si>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</si>
  <si>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</si>
  <si>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</si>
  <si>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</si>
  <si>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</si>
  <si>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</si>
  <si>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</si>
  <si>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</si>
  <si>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</si>
  <si>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</si>
  <si>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</si>
  <si>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</si>
  <si>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</si>
  <si>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</si>
  <si>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</si>
  <si>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</si>
  <si>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</si>
  <si>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</si>
  <si>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</si>
  <si>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</si>
  <si>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</si>
  <si>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</si>
  <si>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</si>
  <si>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Risk-free + 40bp, the spread for a AAA rating at 10.7x interest cover. Book interest / average debt was lower, at 2.6%.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</si>
  <si>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</si>
  <si>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</si>
  <si>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</si>
  <si>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</si>
  <si>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</si>
  <si>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</si>
  <si>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</si>
  <si>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</si>
  <si>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</si>
  <si>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</si>
  <si>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</si>
  <si>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</si>
  <si>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</si>
  <si>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</si>
  <si>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</si>
  <si>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</si>
  <si>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</si>
  <si>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</si>
  <si>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</si>
  <si>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</si>
  <si>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</si>
  <si>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</si>
  <si>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</si>
  <si>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</si>
  <si>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</si>
  <si>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</si>
  <si>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</si>
  <si>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</si>
  <si>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</si>
  <si>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</si>
  <si>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</si>
  <si>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</si>
  <si>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</si>
  <si>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</si>
  <si>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</si>
  <si>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</si>
  <si>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(CNY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</si>
  <si>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</si>
  <si>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</si>
  <si>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</si>
  <si>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</si>
  <si>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</si>
  <si>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</si>
  <si>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</si>
  <si>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</si>
  <si>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</si>
  <si>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</si>
  <si>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</si>
  <si>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</si>
  <si>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</si>
  <si>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</si>
  <si>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</si>
  <si>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</si>
  <si>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</si>
  <si>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1.1755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</si>
  <si>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</si>
  <si>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</si>
  <si>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</si>
  <si>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</si>
  <si>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</si>
  <si>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</si>
  <si>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</si>
  <si>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</si>
  <si>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</si>
  <si>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</si>
  <si>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</si>
  <si>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</si>
  <si>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</si>
  <si>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</si>
  <si>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</si>
  <si>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</si>
  <si>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</si>
  <si>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</si>
  <si>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</si>
  <si>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</si>
  <si>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</si>
  <si>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</si>
  <si>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</si>
  <si>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</si>
  <si>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</si>
  <si>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</si>
  <si>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Free cashflow is negative in at least one forecast year, so terminal value carries most of the valuation.</t>
  </si>
  <si>
    <t>Adjusted: Capital expenditure runs at 25.8% of revenue against depreciation of 8.5%.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</si>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</sst>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-0.10179863069961004</v>
      </c>
    </row>
    <row r="7" spans="1:2" x14ac:dyDescent="0.25">
      <c r="A7" t="s">
        <v>4</v>
      </c>
      <c r="B7" s="5">
        <v>0.20036594393956436</v>
      </c>
    </row>
    <row r="8" spans="1:2" x14ac:dyDescent="0.25">
      <c r="A8" t="s">
        <v>5</v>
      </c>
      <c r="B8" s="5">
        <v>0.165</v>
      </c>
    </row>
    <row r="9" spans="1:2" x14ac:dyDescent="0.25">
      <c r="A9" t="s">
        <v>6</v>
      </c>
      <c r="B9" s="5">
        <v>0.08516851188817273</v>
      </c>
    </row>
    <row r="10" spans="1:3" x14ac:dyDescent="0.25">
      <c r="A10" t="s">
        <v>7</v>
      </c>
      <c r="B10" s="5">
        <v>0.25752463834850303</v>
      </c>
      <c r="C10" s="6" t="s">
        <v>8</v>
      </c>
    </row>
    <row r="11" spans="1:2" x14ac:dyDescent="0.25">
      <c r="A11" t="s">
        <v>9</v>
      </c>
      <c r="B11" s="5">
        <v>0.2776444236248816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4.28575844804672</v>
      </c>
    </row>
    <row r="14" spans="1:3" x14ac:dyDescent="0.25">
      <c r="A14" t="s">
        <v>12</v>
      </c>
      <c r="B14" s="5">
        <v>0.09420378233045129</v>
      </c>
      <c r="C14" s="6" t="s">
        <v>13</v>
      </c>
    </row>
    <row r="15" spans="1:3" x14ac:dyDescent="0.25">
      <c r="A15" t="s">
        <v>14</v>
      </c>
      <c r="B15" s="5">
        <v>0.08506338229655712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0.032</v>
      </c>
      <c r="C17" s="6" t="s">
        <v>18</v>
      </c>
    </row>
    <row r="18" spans="1:2" x14ac:dyDescent="0.25">
      <c r="A18" t="s">
        <v>19</v>
      </c>
      <c r="B18" s="5">
        <v>0.0501</v>
      </c>
    </row>
    <row r="19" spans="1:3" x14ac:dyDescent="0.25">
      <c r="A19" t="s">
        <v>20</v>
      </c>
      <c r="B19" s="8">
        <v>1.2961399999999998</v>
      </c>
      <c r="C19" s="6" t="s">
        <v>21</v>
      </c>
    </row>
    <row r="20" spans="1:2" x14ac:dyDescent="0.25">
      <c r="A20" t="s">
        <v>22</v>
      </c>
      <c r="B20" s="9">
        <f>B17+B19*B18</f>
        <v>0.09693661399999999</v>
      </c>
    </row>
    <row r="21" spans="1:3" x14ac:dyDescent="0.25">
      <c r="A21" t="s">
        <v>23</v>
      </c>
      <c r="B21" s="5">
        <v>0.036000000000000004</v>
      </c>
      <c r="C21" s="6" t="s">
        <v>24</v>
      </c>
    </row>
    <row r="22" spans="1:2" x14ac:dyDescent="0.25">
      <c r="A22" t="s">
        <v>25</v>
      </c>
      <c r="B22" s="10">
        <v>16985601024</v>
      </c>
    </row>
    <row r="23" spans="1:2" x14ac:dyDescent="0.25">
      <c r="A23" t="s">
        <v>26</v>
      </c>
      <c r="B23" s="10">
        <v>13119667000</v>
      </c>
    </row>
    <row r="24" spans="1:2" x14ac:dyDescent="0.25">
      <c r="A24" t="s">
        <v>27</v>
      </c>
      <c r="B24" s="9">
        <f>B22/(B22+B23)</f>
        <v>0.5642069358246216</v>
      </c>
    </row>
    <row r="25" spans="1:2" x14ac:dyDescent="0.25">
      <c r="A25" t="s">
        <v>28</v>
      </c>
      <c r="B25" s="9">
        <f>1-B24</f>
        <v>0.43579306417537844</v>
      </c>
    </row>
    <row r="26" spans="1:2" x14ac:dyDescent="0.25">
      <c r="A26" t="s">
        <v>29</v>
      </c>
      <c r="B26" s="11">
        <f>B24*B20+B25*B21*(1-B8)</f>
        <v>0.06779224946326598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20861164000</v>
      </c>
      <c r="C29" s="6" t="s">
        <v>32</v>
      </c>
    </row>
    <row r="30" spans="1:2" x14ac:dyDescent="0.25">
      <c r="A30" t="s">
        <v>33</v>
      </c>
      <c r="B30" s="10">
        <v>7915847000</v>
      </c>
    </row>
    <row r="31" spans="1:2" x14ac:dyDescent="0.25">
      <c r="A31" t="s">
        <v>34</v>
      </c>
      <c r="B31" s="12">
        <v>9094046000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-0.10179863069961004</v>
      </c>
      <c r="C5" s="5">
        <v>0.13332452857796073</v>
      </c>
      <c r="D5" s="5">
        <v>0.11978396250571564</v>
      </c>
      <c r="E5" s="5">
        <v>0.10624339643347055</v>
      </c>
      <c r="F5" s="5">
        <v>0.09270283036122545</v>
      </c>
      <c r="G5" s="5">
        <v>0.07916226428898036</v>
      </c>
      <c r="H5" s="5">
        <v>0.06562169821673527</v>
      </c>
      <c r="I5" s="5">
        <v>0.05208113214449017</v>
      </c>
      <c r="J5" s="5">
        <v>0.03854056607224508</v>
      </c>
      <c r="K5" s="5">
        <v>0.024999999999999994</v>
      </c>
    </row>
    <row r="6" spans="1:11" x14ac:dyDescent="0.25">
      <c r="A6" t="s">
        <v>50</v>
      </c>
      <c r="B6" s="18">
        <f>Assumptions!B29*(1+B5)</f>
        <v>18737526070</v>
      </c>
      <c r="C6" s="18">
        <f>B6*(1+C5)</f>
        <v>21235697900</v>
      </c>
      <c r="D6" s="18">
        <f>C6*(1+D5)</f>
        <v>23779393941.0363</v>
      </c>
      <c r="E6" s="18">
        <f>D6*(1+E5)</f>
        <v>26305797518.46149</v>
      </c>
      <c r="F6" s="18">
        <f>E6*(1+F5)</f>
        <v>28744419403.33217</v>
      </c>
      <c r="G6" s="18">
        <f>F6*(1+G5)</f>
        <v>31019892728.972046</v>
      </c>
      <c r="H6" s="18">
        <f>G6*(1+H5)</f>
        <v>33055470768.34815</v>
      </c>
      <c r="I6" s="18">
        <f>H6*(1+I5)</f>
        <v>34777037109.53282</v>
      </c>
      <c r="J6" s="18">
        <f>I6*(1+J5)</f>
        <v>36117363806.04969</v>
      </c>
      <c r="K6" s="18">
        <f>J6*(1+K5)</f>
        <v>37020297901.20093</v>
      </c>
    </row>
    <row r="7" spans="1:11" x14ac:dyDescent="0.25">
      <c r="A7" t="s">
        <v>4</v>
      </c>
      <c r="B7" s="9">
        <f>Assumptions!B7</f>
        <v>0.20036594393956436</v>
      </c>
      <c r="C7" s="9">
        <f>Assumptions!B7</f>
        <v>0.20036594393956436</v>
      </c>
      <c r="D7" s="9">
        <f>Assumptions!B7</f>
        <v>0.20036594393956436</v>
      </c>
      <c r="E7" s="9">
        <f>Assumptions!B7</f>
        <v>0.20036594393956436</v>
      </c>
      <c r="F7" s="9">
        <f>Assumptions!B7</f>
        <v>0.20036594393956436</v>
      </c>
      <c r="G7" s="9">
        <f>Assumptions!B7</f>
        <v>0.20036594393956436</v>
      </c>
      <c r="H7" s="9">
        <f>Assumptions!B7</f>
        <v>0.20036594393956436</v>
      </c>
      <c r="I7" s="9">
        <f>Assumptions!B7</f>
        <v>0.20036594393956436</v>
      </c>
      <c r="J7" s="9">
        <f>Assumptions!B7</f>
        <v>0.20036594393956436</v>
      </c>
      <c r="K7" s="9">
        <f>Assumptions!B7</f>
        <v>0.20036594393956436</v>
      </c>
    </row>
    <row r="8" spans="1:11" x14ac:dyDescent="0.25">
      <c r="A8" t="s">
        <v>51</v>
      </c>
      <c r="B8" s="18">
        <f>B6*B7</f>
        <v>3754362098.1077456</v>
      </c>
      <c r="C8" s="18">
        <f>C6*C7</f>
        <v>4254910654.9489245</v>
      </c>
      <c r="D8" s="18">
        <f>D6*D7</f>
        <v>4764580713.306496</v>
      </c>
      <c r="E8" s="18">
        <f>E6*E7</f>
        <v>5270785950.869586</v>
      </c>
      <c r="F8" s="18">
        <f>F6*F7</f>
        <v>5759402726.74338</v>
      </c>
      <c r="G8" s="18">
        <f>G6*G7</f>
        <v>6215330087.544513</v>
      </c>
      <c r="H8" s="18">
        <f>H6*H7</f>
        <v>6623190602.866754</v>
      </c>
      <c r="I8" s="18">
        <f>I6*I7</f>
        <v>6968133867.872803</v>
      </c>
      <c r="J8" s="18">
        <f>J6*J7</f>
        <v>7236689691.607803</v>
      </c>
      <c r="K8" s="18">
        <f>K6*K7</f>
        <v>7417606933.897997</v>
      </c>
    </row>
    <row r="9" spans="1:11" x14ac:dyDescent="0.25">
      <c r="A9" t="s">
        <v>52</v>
      </c>
      <c r="B9" s="18">
        <f>B8*(1-Assumptions!B8)</f>
        <v>3134892351.9199677</v>
      </c>
      <c r="C9" s="18">
        <f>C8*(1-Assumptions!B8)</f>
        <v>3552850396.882352</v>
      </c>
      <c r="D9" s="18">
        <f>D8*(1-Assumptions!B8)</f>
        <v>3978424895.610924</v>
      </c>
      <c r="E9" s="18">
        <f>E8*(1-Assumptions!B8)</f>
        <v>4401106268.976104</v>
      </c>
      <c r="F9" s="18">
        <f>F8*(1-Assumptions!B8)</f>
        <v>4809101276.830722</v>
      </c>
      <c r="G9" s="18">
        <f>G8*(1-Assumptions!B8)</f>
        <v>5189800623.099668</v>
      </c>
      <c r="H9" s="18">
        <f>H8*(1-Assumptions!B8)</f>
        <v>5530364153.393739</v>
      </c>
      <c r="I9" s="18">
        <f>I8*(1-Assumptions!B8)</f>
        <v>5818391779.67379</v>
      </c>
      <c r="J9" s="18">
        <f>J8*(1-Assumptions!B8)</f>
        <v>6042635892.492516</v>
      </c>
      <c r="K9" s="18">
        <f>K8*(1-Assumptions!B8)</f>
        <v>6193701789.804827</v>
      </c>
    </row>
    <row r="10" spans="1:11" x14ac:dyDescent="0.25">
      <c r="A10" t="s">
        <v>53</v>
      </c>
      <c r="B10" s="18">
        <f>B6*Assumptions!B9</f>
        <v>1595847211.8477416</v>
      </c>
      <c r="C10" s="18">
        <f>C6*Assumptions!B9</f>
        <v>1808612789.0497947</v>
      </c>
      <c r="D10" s="18">
        <f>D6*Assumptions!B9</f>
        <v>2025255595.5606928</v>
      </c>
      <c r="E10" s="18">
        <f>E6*Assumptions!B9</f>
        <v>2240425628.678952</v>
      </c>
      <c r="F10" s="18">
        <f>F6*Assumptions!B9</f>
        <v>2448119425.6713185</v>
      </c>
      <c r="G10" s="18">
        <f>G6*Assumptions!B9</f>
        <v>2641918102.6572986</v>
      </c>
      <c r="H10" s="18">
        <f>H6*Assumptions!B9</f>
        <v>2815285255.1032057</v>
      </c>
      <c r="I10" s="18">
        <f>I6*Assumptions!B9</f>
        <v>2961908498.4986706</v>
      </c>
      <c r="J10" s="18">
        <f>J6*Assumptions!B9</f>
        <v>3076062128.685003</v>
      </c>
      <c r="K10" s="18">
        <f>K6*Assumptions!B9</f>
        <v>3152963681.9021273</v>
      </c>
    </row>
    <row r="11" spans="1:11" x14ac:dyDescent="0.25">
      <c r="A11" t="s">
        <v>54</v>
      </c>
      <c r="B11" s="18">
        <f>-B6*B19</f>
        <v>-4825374624.722397</v>
      </c>
      <c r="C11" s="18">
        <f>-C6*C19</f>
        <v>-5166606818.034189</v>
      </c>
      <c r="D11" s="18">
        <f>-D6*D19</f>
        <v>-5447187086.002784</v>
      </c>
      <c r="E11" s="18">
        <f>-E6*E19</f>
        <v>-5651676618.337017</v>
      </c>
      <c r="F11" s="18">
        <f>-F6*F19</f>
        <v>-5766671979.064019</v>
      </c>
      <c r="G11" s="18">
        <f>-G6*G19</f>
        <v>-5781871823.763707</v>
      </c>
      <c r="H11" s="18">
        <f>-H6*H19</f>
        <v>-5691026055.041015</v>
      </c>
      <c r="I11" s="18">
        <f>-I6*I19</f>
        <v>-5492667340.149081</v>
      </c>
      <c r="J11" s="18">
        <f>-J6*J19</f>
        <v>-5190535962.4607725</v>
      </c>
      <c r="K11" s="18">
        <f>-K6*K19</f>
        <v>-4793631928.142502</v>
      </c>
    </row>
    <row r="12" spans="1:11" x14ac:dyDescent="0.25">
      <c r="A12" t="s">
        <v>55</v>
      </c>
      <c r="B12" s="18">
        <f>-(B6-Assumptions!B29)*Assumptions!B11</f>
        <v>589616229.0627867</v>
      </c>
      <c r="C12" s="18">
        <f>-(C6-B6)*Assumptions!B11</f>
        <v>-693603477.8562658</v>
      </c>
      <c r="D12" s="18">
        <f>-(D6-C6)*Assumptions!B11</f>
        <v>-706243021.1904169</v>
      </c>
      <c r="E12" s="18">
        <f>-(E6-D6)*Assumptions!B11</f>
        <v>-701441865.0980558</v>
      </c>
      <c r="F12" s="18">
        <f>-(F6-E6)*Assumptions!B11</f>
        <v>-677069767.6639419</v>
      </c>
      <c r="G12" s="18">
        <f>-(G6-F6)*Assumptions!B11</f>
        <v>-631772479.9710763</v>
      </c>
      <c r="H12" s="18">
        <f>-(H6-G6)*Assumptions!B11</f>
        <v>-565166891.4860445</v>
      </c>
      <c r="I12" s="18">
        <f>-(I6-H6)*Assumptions!B11</f>
        <v>-477983294.5302149</v>
      </c>
      <c r="J12" s="18">
        <f>-(J6-I6)*Assumptions!B11</f>
        <v>-372134233.1234676</v>
      </c>
      <c r="K12" s="18">
        <f>-(K6-J6)*Assumptions!B11</f>
        <v>-250694616.41951936</v>
      </c>
    </row>
    <row r="13" spans="1:11" x14ac:dyDescent="0.25">
      <c r="A13" s="19" t="s">
        <v>56</v>
      </c>
      <c r="B13" s="20">
        <f>B9+B10+B11+B12</f>
        <v>494981168.1080996</v>
      </c>
      <c r="C13" s="20">
        <f>C9+C10+C11+C12</f>
        <v>-498747109.95830894</v>
      </c>
      <c r="D13" s="20">
        <f>D9+D10+D11+D12</f>
        <v>-149749616.02158415</v>
      </c>
      <c r="E13" s="20">
        <f>E9+E10+E11+E12</f>
        <v>288413414.2199831</v>
      </c>
      <c r="F13" s="20">
        <f>F9+F10+F11+F12</f>
        <v>813478955.7740798</v>
      </c>
      <c r="G13" s="20">
        <f>G9+G10+G11+G12</f>
        <v>1418074422.0221822</v>
      </c>
      <c r="H13" s="20">
        <f>H9+H10+H11+H12</f>
        <v>2089456461.9698853</v>
      </c>
      <c r="I13" s="20">
        <f>I9+I10+I11+I12</f>
        <v>2809649643.4931645</v>
      </c>
      <c r="J13" s="20">
        <f>J9+J10+J11+J12</f>
        <v>3556027825.593279</v>
      </c>
      <c r="K13" s="20">
        <f>K9+K10+K11+K12</f>
        <v>4302338927.144934</v>
      </c>
    </row>
    <row r="14" spans="1:11" x14ac:dyDescent="0.25">
      <c r="A14" t="s">
        <v>57</v>
      </c>
      <c r="B14" s="21">
        <f>1/(1+Assumptions!$B$26)^(1-0.5*Assumptions!$B$32)</f>
        <v>0.9677353776050407</v>
      </c>
      <c r="C14" s="21">
        <f>1/(1+Assumptions!$B$26)^(2-0.5*Assumptions!$B$32)</f>
        <v>0.9062955627290612</v>
      </c>
      <c r="D14" s="21">
        <f>1/(1+Assumptions!$B$26)^(3-0.5*Assumptions!$B$32)</f>
        <v>0.8487564534998429</v>
      </c>
      <c r="E14" s="21">
        <f>1/(1+Assumptions!$B$26)^(4-0.5*Assumptions!$B$32)</f>
        <v>0.7948704009852826</v>
      </c>
      <c r="F14" s="21">
        <f>1/(1+Assumptions!$B$26)^(5-0.5*Assumptions!$B$32)</f>
        <v>0.7444054790478488</v>
      </c>
      <c r="G14" s="21">
        <f>1/(1+Assumptions!$B$26)^(6-0.5*Assumptions!$B$32)</f>
        <v>0.6971444861320448</v>
      </c>
      <c r="H14" s="21">
        <f>1/(1+Assumptions!$B$26)^(7-0.5*Assumptions!$B$32)</f>
        <v>0.6528840104266256</v>
      </c>
      <c r="I14" s="21">
        <f>1/(1+Assumptions!$B$26)^(8-0.5*Assumptions!$B$32)</f>
        <v>0.6114335543780195</v>
      </c>
      <c r="J14" s="21">
        <f>1/(1+Assumptions!$B$26)^(9-0.5*Assumptions!$B$32)</f>
        <v>0.5726147147868523</v>
      </c>
      <c r="K14" s="21">
        <f>1/(1+Assumptions!$B$26)^(10-0.5*Assumptions!$B$32)</f>
        <v>0.5362604149586978</v>
      </c>
    </row>
    <row r="15" spans="1:11" x14ac:dyDescent="0.25">
      <c r="A15" s="19" t="s">
        <v>58</v>
      </c>
      <c r="B15" s="20">
        <f>B13*B14</f>
        <v>479010787.6264759</v>
      </c>
      <c r="C15" s="20">
        <f>C13*C14</f>
        <v>-452012292.67915857</v>
      </c>
      <c r="D15" s="20">
        <f>D13*D14</f>
        <v>-127100953.00744301</v>
      </c>
      <c r="E15" s="20">
        <f>E13*E14</f>
        <v>229251286.2105724</v>
      </c>
      <c r="F15" s="20">
        <f>F13*F14</f>
        <v>605558191.7683477</v>
      </c>
      <c r="G15" s="20">
        <f>G13*G14</f>
        <v>988602764.2376508</v>
      </c>
      <c r="H15" s="20">
        <f>H13*H14</f>
        <v>1364172714.5027268</v>
      </c>
      <c r="I15" s="20">
        <f>I13*I14</f>
        <v>1717914068.077961</v>
      </c>
      <c r="J15" s="20">
        <f>J13*J14</f>
        <v>2036233859.1262062</v>
      </c>
      <c r="K15" s="20">
        <f>K13*K14</f>
        <v>2307174058.363701</v>
      </c>
    </row>
    <row r="17" spans="1:2" x14ac:dyDescent="0.25">
      <c r="A17" s="22" t="s">
        <v>59</v>
      </c>
      <c r="B17" s="23">
        <f>SUM(B15:K15)</f>
        <v>9148804484.22704</v>
      </c>
    </row>
    <row r="19" spans="1:11" x14ac:dyDescent="0.25">
      <c r="A19" t="s">
        <v>7</v>
      </c>
      <c r="B19" s="9">
        <f>Assumptions!$B$10+($B$20-Assumptions!$B$10)*0/9</f>
        <v>0.25752463834850303</v>
      </c>
      <c r="C19" s="9">
        <f>Assumptions!$B$10+($B$20-Assumptions!$B$10)*1/9</f>
        <v>0.24329818790811625</v>
      </c>
      <c r="D19" s="9">
        <f>Assumptions!$B$10+($B$20-Assumptions!$B$10)*2/9</f>
        <v>0.22907173746772944</v>
      </c>
      <c r="E19" s="9">
        <f>Assumptions!$B$10+($B$20-Assumptions!$B$10)*3/9</f>
        <v>0.21484528702734265</v>
      </c>
      <c r="F19" s="9">
        <f>Assumptions!$B$10+($B$20-Assumptions!$B$10)*4/9</f>
        <v>0.20061883658695584</v>
      </c>
      <c r="G19" s="9">
        <f>Assumptions!$B$10+($B$20-Assumptions!$B$10)*5/9</f>
        <v>0.18639238614656906</v>
      </c>
      <c r="H19" s="9">
        <f>Assumptions!$B$10+($B$20-Assumptions!$B$10)*6/9</f>
        <v>0.17216593570618227</v>
      </c>
      <c r="I19" s="9">
        <f>Assumptions!$B$10+($B$20-Assumptions!$B$10)*7/9</f>
        <v>0.15793948526579546</v>
      </c>
      <c r="J19" s="9">
        <f>Assumptions!$B$10+($B$20-Assumptions!$B$10)*8/9</f>
        <v>0.14371303482540865</v>
      </c>
      <c r="K19" s="9">
        <f>Assumptions!$B$10+($B$20-Assumptions!$B$10)*9/9</f>
        <v>0.12948658438502186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0.12948658438502186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4302338927.144934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6196951550.3526945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0.2653821256592876</v>
      </c>
    </row>
    <row r="7" spans="1:2" x14ac:dyDescent="0.25">
      <c r="A7" t="s">
        <v>66</v>
      </c>
      <c r="B7" s="18">
        <f>-MAX(B5,0)*B6</f>
        <v>-1644560175.0402157</v>
      </c>
    </row>
    <row r="8" spans="1:2" x14ac:dyDescent="0.25">
      <c r="A8" t="s">
        <v>67</v>
      </c>
      <c r="B8" s="18">
        <f>IF(OR(Assumptions!$B$33=0,Assumptions!B12&lt;=0),B5,MAX(B5+B7,0))</f>
        <v>4552391375.312479</v>
      </c>
    </row>
    <row r="9" spans="1:2" x14ac:dyDescent="0.25">
      <c r="A9" t="s">
        <v>68</v>
      </c>
      <c r="B9" s="18">
        <f>B8*(1+Assumptions!B12)/(Assumptions!B26-Assumptions!B12)</f>
        <v>109043137909.84238</v>
      </c>
    </row>
    <row r="10" spans="1:2" x14ac:dyDescent="0.25">
      <c r="A10" t="s">
        <v>69</v>
      </c>
      <c r="B10" s="18">
        <f>B9/(1+Assumptions!B26)^(10-0.5*Assumptions!B32)</f>
        <v>58475518383.93059</v>
      </c>
    </row>
    <row r="11" spans="1:2" x14ac:dyDescent="0.25">
      <c r="A11" t="s">
        <v>70</v>
      </c>
      <c r="B11" s="18">
        <f>Forecast!B17+B10</f>
        <v>67624322868.15762</v>
      </c>
    </row>
    <row r="12" spans="1:2" x14ac:dyDescent="0.25">
      <c r="A12" t="s">
        <v>71</v>
      </c>
      <c r="B12" s="18">
        <f>-Assumptions!B30</f>
        <v>-7915847000</v>
      </c>
    </row>
    <row r="13" spans="1:2" x14ac:dyDescent="0.25">
      <c r="A13" t="s">
        <v>72</v>
      </c>
      <c r="B13" s="18">
        <f>B11+B12</f>
        <v>59708475868.15762</v>
      </c>
    </row>
    <row r="14" spans="1:2" x14ac:dyDescent="0.25">
      <c r="A14" s="19" t="s">
        <v>73</v>
      </c>
      <c r="B14" s="24">
        <f>B13/Assumptions!B31</f>
        <v>6.565666796512534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10570570615.800125</v>
      </c>
    </row>
    <row r="18" spans="1:2" x14ac:dyDescent="0.25">
      <c r="A18" t="s">
        <v>68</v>
      </c>
      <c r="B18" s="18">
        <f>B17*Assumptions!B13</f>
        <v>45302912317.339806</v>
      </c>
    </row>
    <row r="19" spans="1:2" x14ac:dyDescent="0.25">
      <c r="A19" t="s">
        <v>69</v>
      </c>
      <c r="B19" s="18">
        <f>B18/(1+Assumptions!B26)^(10-0.5*Assumptions!B32)</f>
        <v>24294158558.134148</v>
      </c>
    </row>
    <row r="20" spans="1:2" x14ac:dyDescent="0.25">
      <c r="A20" t="s">
        <v>70</v>
      </c>
      <c r="B20" s="18">
        <f>Forecast!B17+B19</f>
        <v>33442963042.361187</v>
      </c>
    </row>
    <row r="21" spans="1:2" x14ac:dyDescent="0.25">
      <c r="A21" t="s">
        <v>71</v>
      </c>
      <c r="B21" s="18">
        <f>-Assumptions!B30</f>
        <v>-7915847000</v>
      </c>
    </row>
    <row r="22" spans="1:2" x14ac:dyDescent="0.25">
      <c r="A22" t="s">
        <v>72</v>
      </c>
      <c r="B22" s="18">
        <f>B20+B21</f>
        <v>25527116042.361187</v>
      </c>
    </row>
    <row r="23" spans="1:2" x14ac:dyDescent="0.25">
      <c r="A23" s="19" t="s">
        <v>73</v>
      </c>
      <c r="B23" s="25">
        <f>B22/Assumptions!B31</f>
        <v>2.80701417634804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1.86</v>
      </c>
    </row>
    <row r="27" spans="1:3" x14ac:dyDescent="0.25">
      <c r="A27" t="s">
        <v>78</v>
      </c>
      <c r="B27" s="27">
        <v>1.1755</v>
      </c>
      <c r="C27" s="6" t="s">
        <v>79</v>
      </c>
    </row>
    <row r="28" spans="1:2" x14ac:dyDescent="0.25">
      <c r="A28" t="s">
        <v>80</v>
      </c>
      <c r="B28" s="28">
        <f>B14*B27</f>
        <v>7.717941319300484</v>
      </c>
    </row>
    <row r="29" spans="1:2" x14ac:dyDescent="0.25">
      <c r="A29" s="19" t="s">
        <v>81</v>
      </c>
      <c r="B29" s="11">
        <f>B28/B26-1</f>
        <v>3.1494308168282172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0.047792</v>
      </c>
      <c r="B5" s="31">
        <v>11.903914275845993</v>
      </c>
      <c r="C5" s="31">
        <v>13.049732964343542</v>
      </c>
      <c r="D5" s="31">
        <v>14.7389803355362</v>
      </c>
      <c r="E5" s="31">
        <v>17.429807819304077</v>
      </c>
      <c r="F5" s="31">
        <v>22.296676148029</v>
      </c>
    </row>
    <row r="6" spans="1:6" x14ac:dyDescent="0.25">
      <c r="A6" s="30">
        <v>0.057792</v>
      </c>
      <c r="B6" s="31">
        <v>8.396130040882225</v>
      </c>
      <c r="C6" s="31">
        <v>8.813822333294121</v>
      </c>
      <c r="D6" s="31">
        <v>9.385554028244531</v>
      </c>
      <c r="E6" s="31">
        <v>10.194463836084546</v>
      </c>
      <c r="F6" s="31">
        <v>11.396644758452647</v>
      </c>
    </row>
    <row r="7" spans="1:6" x14ac:dyDescent="0.25">
      <c r="A7" s="30">
        <v>0.067792</v>
      </c>
      <c r="B7" s="31">
        <v>6.246421619489612</v>
      </c>
      <c r="C7" s="31">
        <v>6.380739073358021</v>
      </c>
      <c r="D7" s="32">
        <v>6.565720330492188</v>
      </c>
      <c r="E7" s="31">
        <v>6.821474330587991</v>
      </c>
      <c r="F7" s="31">
        <v>7.1803745532875505</v>
      </c>
    </row>
    <row r="8" spans="1:6" x14ac:dyDescent="0.25">
      <c r="A8" s="30">
        <v>0.077792</v>
      </c>
      <c r="B8" s="31">
        <v>4.803967064510297</v>
      </c>
      <c r="C8" s="31">
        <v>4.812614793516385</v>
      </c>
      <c r="D8" s="31">
        <v>4.8376529804499375</v>
      </c>
      <c r="E8" s="31">
        <v>4.884225935423779</v>
      </c>
      <c r="F8" s="31">
        <v>4.9598823011889905</v>
      </c>
    </row>
    <row r="9" spans="1:6" x14ac:dyDescent="0.25">
      <c r="A9" s="30">
        <v>0.087792</v>
      </c>
      <c r="B9" s="31">
        <v>3.775734680677448</v>
      </c>
      <c r="C9" s="31">
        <v>3.725118950427554</v>
      </c>
      <c r="D9" s="31">
        <v>3.6781633387854216</v>
      </c>
      <c r="E9" s="31">
        <v>3.635817835007637</v>
      </c>
      <c r="F9" s="31">
        <v>3.5993923272962967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20861164000</v>
      </c>
      <c r="C5" s="18">
        <v>21921447000</v>
      </c>
      <c r="D5" s="18">
        <v>24163667000</v>
      </c>
      <c r="E5" s="18">
        <v>18140334302.3357</v>
      </c>
      <c r="F5" s="6" t="s">
        <v>91</v>
      </c>
    </row>
    <row r="6" spans="1:6" x14ac:dyDescent="0.25">
      <c r="A6" t="s">
        <v>51</v>
      </c>
      <c r="B6" s="18">
        <v>3636676000</v>
      </c>
      <c r="C6" s="18">
        <v>2983768000</v>
      </c>
      <c r="D6" s="18">
        <v>5601582000</v>
      </c>
      <c r="E6" s="18">
        <v>4702083765.6236</v>
      </c>
      <c r="F6" s="6" t="s">
        <v>92</v>
      </c>
    </row>
    <row r="7" spans="1:6" x14ac:dyDescent="0.25">
      <c r="A7" t="s">
        <v>93</v>
      </c>
      <c r="B7" s="18">
        <v>2173602000</v>
      </c>
      <c r="C7" s="18">
        <v>2025408000</v>
      </c>
      <c r="D7" s="18">
        <v>1653922000</v>
      </c>
      <c r="E7" s="18">
        <v>1372131123.964932</v>
      </c>
      <c r="F7" s="6" t="s">
        <v>94</v>
      </c>
    </row>
    <row r="8" spans="1:6" x14ac:dyDescent="0.25">
      <c r="A8" t="s">
        <v>95</v>
      </c>
      <c r="B8" s="18">
        <v>2531445000</v>
      </c>
      <c r="C8" s="18">
        <v>4705234000</v>
      </c>
      <c r="D8" s="18">
        <v>8955104000</v>
      </c>
      <c r="E8" s="18">
        <v>5868554204.671402</v>
      </c>
      <c r="F8" s="6" t="s">
        <v>96</v>
      </c>
    </row>
    <row r="9" spans="1:6" x14ac:dyDescent="0.25">
      <c r="A9" t="s">
        <v>97</v>
      </c>
      <c r="B9" s="18">
        <v>-454836000</v>
      </c>
      <c r="C9" s="18">
        <v>2260723000</v>
      </c>
      <c r="D9" s="18">
        <v>541847000</v>
      </c>
      <c r="E9" s="18">
        <v>43394023.062648</v>
      </c>
      <c r="F9" s="6" t="s">
        <v>98</v>
      </c>
    </row>
    <row r="10" spans="1:6" x14ac:dyDescent="0.25">
      <c r="A10" t="s">
        <v>99</v>
      </c>
      <c r="B10" s="18">
        <v>13119667000</v>
      </c>
      <c r="C10" s="18">
        <v>12543395000</v>
      </c>
      <c r="D10" s="18">
        <v>10494106000</v>
      </c>
      <c r="E10" s="18">
        <v>7975933000</v>
      </c>
      <c r="F10" s="6" t="s">
        <v>100</v>
      </c>
    </row>
    <row r="11" spans="1:6" x14ac:dyDescent="0.25">
      <c r="A11" t="s">
        <v>101</v>
      </c>
      <c r="B11" s="18">
        <v>5203820000</v>
      </c>
      <c r="C11" s="18">
        <v>1011187000</v>
      </c>
      <c r="D11" s="18">
        <v>2623122000</v>
      </c>
      <c r="E11" s="18">
        <v>4765981000</v>
      </c>
      <c r="F11" s="6" t="s">
        <v>102</v>
      </c>
    </row>
    <row r="12" spans="1:6" x14ac:dyDescent="0.25">
      <c r="A12" t="s">
        <v>34</v>
      </c>
      <c r="B12" s="34">
        <v>9094046000</v>
      </c>
      <c r="C12" s="34">
        <v>8944137000</v>
      </c>
      <c r="D12" s="34">
        <v>8903692000</v>
      </c>
      <c r="E12" s="34">
        <v>8910521000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19" ht="22" customHeight="1" spans="1:6" x14ac:dyDescent="0.25">
      <c r="A19" s="35" t="s">
        <v>108</v>
      </c>
      <c r="B19" s="35"/>
      <c r="C19" s="35"/>
      <c r="D19" s="35"/>
      <c r="E19" s="35"/>
      <c r="F19" s="35"/>
    </row>
    <row r="21" spans="1:1" x14ac:dyDescent="0.25">
      <c r="A21" s="36" t="s">
        <v>109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