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<sst xmlns="http://schemas.openxmlformats.org/spreadsheetml/2006/main" count="116" uniqueCount="104">
  <si>
    <t>Semiconductor Manufacturing International Corporation (0981.HK)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</si>
  <si>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</si>
  <si>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</si>
  <si>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</si>
  <si>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</si>
  <si>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</si>
  <si>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</si>
  <si>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</si>
  <si>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</si>
  <si>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</si>
  <si>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</si>
  <si>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</si>
  <si>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</si>
  <si>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</si>
  <si>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</si>
  <si>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</si>
  <si>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HKD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</si>
  <si>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</si>
  <si>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</si>
  <si>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</si>
  <si>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</si>
  <si>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</si>
  <si>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</si>
  <si>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</si>
  <si>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</si>
  <si>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</si>
  <si>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</si>
  <si>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</si>
  <si>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</si>
  <si>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</si>
  <si>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</si>
  <si>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</si>
  <si>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</si>
  <si>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</si>
  <si>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</si>
  <si>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</si>
  <si>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</si>
  <si>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</si>
  <si>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</si>
  <si>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</si>
  <si>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</si>
  <si>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</si>
  <si>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</si>
  <si>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</si>
  <si>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</si>
  <si>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</si>
  <si>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</si>
  <si>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</si>
  <si>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</si>
  <si>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</si>
  <si>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</si>
  <si>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</si>
  <si>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</si>
  <si>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</si>
  <si>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</si>
  <si>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</si>
  <si>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</si>
  <si>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</si>
  <si>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</si>
  <si>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</si>
  <si>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</si>
  <si>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</si>
  <si>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</si>
  <si>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</si>
  <si>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</si>
  <si>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</si>
  <si>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</si>
  <si>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</si>
  <si>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</si>
  <si>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(HKD)</t>
  </si>
  <si>
    <t>Conversion, USD to HKD</t>
  </si>
  <si>
    <t>USD/HKD at 7.8441</t>
  </si>
  <si>
    <t>Value per share (HKD)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</si>
  <si>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</si>
  <si>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</si>
  <si>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</si>
  <si>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</si>
  <si>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</si>
  <si>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</si>
  <si>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</si>
  <si>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</si>
  <si>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</si>
  <si>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</si>
  <si>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</si>
  <si>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</si>
  <si>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</si>
  <si>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</si>
  <si>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</si>
  <si>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</si>
  <si>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</si>
  <si>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</si>
  <si>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</si>
  <si>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</si>
  <si>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</si>
  <si>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</si>
  <si>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</si>
  <si>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</si>
  <si>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</si>
  <si>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Reports in USD, trades in HKD. Modelled in USD, converted at the end.</t>
  </si>
  <si>
    <t>Adjusted: Free cashflow is negative in at least one forecast year, so terminal value carries most of the valuation.</t>
  </si>
  <si>
    <t>Adjusted: Capital expenditure runs at 98.1% of revenue against depreciation of 38.6%. A perpetuity has to be a steady state, so the terminal year uses maintenance capex at depreciation and then charges the reinvestment terminal growth requires (g/ROIC of NOPAT). The bridge is shown under Terminal Value.</t>
  </si>
  <si>
    <t>Note: Risk-free rate is an assumption: HKD assumption - no free live source available for this market.</t>
  </si>
  <si>
    <t>Current EV/EBITDA of 115.4x sits outside a defensible 3-20x band, so the exit multiple is capped at 20.0x. A multiple that far out usually means EBITDA is the wrong denominator for this business.</t>
  </si>
  <si>
    <t>Data: Yahoo Finance. Risk-free rate: HKD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</si>
</sst>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0.08642735110243716</v>
      </c>
    </row>
    <row r="7" spans="1:2" x14ac:dyDescent="0.25">
      <c r="A7" t="s">
        <v>5</v>
      </c>
      <c r="B7" s="6">
        <v>0.11826409218035502</v>
      </c>
    </row>
    <row r="8" spans="1:2" x14ac:dyDescent="0.25">
      <c r="A8" t="s">
        <v>6</v>
      </c>
      <c r="B8" s="6">
        <v>0.06560185038911986</v>
      </c>
    </row>
    <row r="9" spans="1:2" x14ac:dyDescent="0.25">
      <c r="A9" t="s">
        <v>7</v>
      </c>
      <c r="B9" s="6">
        <v>0.386026701914724</v>
      </c>
    </row>
    <row r="10" spans="1:2" x14ac:dyDescent="0.25">
      <c r="A10" t="s">
        <v>8</v>
      </c>
      <c r="B10" s="6">
        <v>0.9811129124631265</v>
      </c>
    </row>
    <row r="11" spans="1:2" x14ac:dyDescent="0.25">
      <c r="A11" t="s">
        <v>9</v>
      </c>
      <c r="B11" s="6">
        <v>0.38168396492310463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0.07100884489533339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0.032</v>
      </c>
      <c r="C17" s="8" t="s">
        <v>16</v>
      </c>
    </row>
    <row r="18" spans="1:2" x14ac:dyDescent="0.25">
      <c r="A18" t="s">
        <v>17</v>
      </c>
      <c r="B18" s="6">
        <v>0.07</v>
      </c>
    </row>
    <row r="19" spans="1:3" x14ac:dyDescent="0.25">
      <c r="A19" t="s">
        <v>18</v>
      </c>
      <c r="B19" s="9">
        <v>0.57053</v>
      </c>
      <c r="C19" s="8" t="s">
        <v>19</v>
      </c>
    </row>
    <row r="20" spans="1:2" x14ac:dyDescent="0.25">
      <c r="A20" t="s">
        <v>20</v>
      </c>
      <c r="B20" s="10">
        <f>B17+B19*B18</f>
        <v>0.0719371</v>
      </c>
    </row>
    <row r="21" spans="1:3" x14ac:dyDescent="0.25">
      <c r="A21" t="s">
        <v>21</v>
      </c>
      <c r="B21" s="6">
        <v>0.032</v>
      </c>
      <c r="C21" s="8" t="s">
        <v>22</v>
      </c>
    </row>
    <row r="22" spans="1:2" x14ac:dyDescent="0.25">
      <c r="A22" t="s">
        <v>23</v>
      </c>
      <c r="B22" s="11">
        <v>557826310144</v>
      </c>
    </row>
    <row r="23" spans="1:2" x14ac:dyDescent="0.25">
      <c r="A23" t="s">
        <v>24</v>
      </c>
      <c r="B23" s="11">
        <v>12596181000</v>
      </c>
    </row>
    <row r="24" spans="1:2" x14ac:dyDescent="0.25">
      <c r="A24" t="s">
        <v>25</v>
      </c>
      <c r="B24" s="10">
        <f>B22/(B22+B23)</f>
        <v>0.9779178044422162</v>
      </c>
    </row>
    <row r="25" spans="1:2" x14ac:dyDescent="0.25">
      <c r="A25" t="s">
        <v>26</v>
      </c>
      <c r="B25" s="10">
        <f>1-B24</f>
        <v>0.02208219555778379</v>
      </c>
    </row>
    <row r="26" spans="1:2" x14ac:dyDescent="0.25">
      <c r="A26" t="s">
        <v>27</v>
      </c>
      <c r="B26" s="12">
        <f>B24*B20+B25*B21*(1-B8)</f>
        <v>0.07100884489533339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9326799000</v>
      </c>
      <c r="C29" s="8" t="s">
        <v>30</v>
      </c>
    </row>
    <row r="30" spans="1:2" x14ac:dyDescent="0.25">
      <c r="A30" t="s">
        <v>31</v>
      </c>
      <c r="B30" s="11">
        <v>2192224000</v>
      </c>
    </row>
    <row r="31" spans="1:2" x14ac:dyDescent="0.25">
      <c r="A31" t="s">
        <v>32</v>
      </c>
      <c r="B31" s="13">
        <v>8009003248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0.08642735110243716</v>
      </c>
      <c r="C5" s="10">
        <f>Assumptions!B6</f>
        <v>0.08642735110243716</v>
      </c>
      <c r="D5" s="10">
        <f>Assumptions!B6</f>
        <v>0.08642735110243716</v>
      </c>
      <c r="E5" s="10">
        <f>Assumptions!B6</f>
        <v>0.08642735110243716</v>
      </c>
      <c r="F5" s="10">
        <f>Assumptions!B6</f>
        <v>0.08642735110243716</v>
      </c>
    </row>
    <row r="6" spans="1:6" x14ac:dyDescent="0.25">
      <c r="A6" t="s">
        <v>43</v>
      </c>
      <c r="B6" s="18">
        <f>Assumptions!B29*(1+B5)</f>
        <v>10132889531.83486</v>
      </c>
      <c r="C6" s="18">
        <f>B6*(1+C5)</f>
        <v>11008648333.08496</v>
      </c>
      <c r="D6" s="18">
        <f>C6*(1+D5)</f>
        <v>11960096647.731754</v>
      </c>
      <c r="E6" s="18">
        <f>D6*(1+E5)</f>
        <v>12993776119.924349</v>
      </c>
      <c r="F6" s="18">
        <f>E6*(1+F5)</f>
        <v>14116793770.787514</v>
      </c>
    </row>
    <row r="7" spans="1:6" x14ac:dyDescent="0.25">
      <c r="A7" t="s">
        <v>5</v>
      </c>
      <c r="B7" s="10">
        <f>Assumptions!B7</f>
        <v>0.11826409218035502</v>
      </c>
      <c r="C7" s="10">
        <f>Assumptions!B7</f>
        <v>0.11826409218035502</v>
      </c>
      <c r="D7" s="10">
        <f>Assumptions!B7</f>
        <v>0.11826409218035502</v>
      </c>
      <c r="E7" s="10">
        <f>Assumptions!B7</f>
        <v>0.11826409218035502</v>
      </c>
      <c r="F7" s="10">
        <f>Assumptions!B7</f>
        <v>0.11826409218035502</v>
      </c>
    </row>
    <row r="8" spans="1:6" x14ac:dyDescent="0.25">
      <c r="A8" t="s">
        <v>44</v>
      </c>
      <c r="B8" s="18">
        <f>B6*B7</f>
        <v>1198356981.6462724</v>
      </c>
      <c r="C8" s="18">
        <f>C6*C7</f>
        <v>1301927801.2450714</v>
      </c>
      <c r="D8" s="18">
        <f>D6*D7</f>
        <v>1414449972.4333034</v>
      </c>
      <c r="E8" s="18">
        <f>E6*E7</f>
        <v>1536697136.817629</v>
      </c>
      <c r="F8" s="18">
        <f>F6*F7</f>
        <v>1669509799.7994761</v>
      </c>
    </row>
    <row r="9" spans="1:6" x14ac:dyDescent="0.25">
      <c r="A9" t="s">
        <v>45</v>
      </c>
      <c r="B9" s="18">
        <f>B8*(1-Assumptions!B8)</f>
        <v>1119742546.2235565</v>
      </c>
      <c r="C9" s="18">
        <f>C8*(1-Assumptions!B8)</f>
        <v>1216518928.4103565</v>
      </c>
      <c r="D9" s="18">
        <f>D8*(1-Assumptions!B8)</f>
        <v>1321659436.9588392</v>
      </c>
      <c r="E9" s="18">
        <f>E8*(1-Assumptions!B8)</f>
        <v>1435886961.1547303</v>
      </c>
      <c r="F9" s="18">
        <f>F8*(1-Assumptions!B8)</f>
        <v>1559986867.6898615</v>
      </c>
    </row>
    <row r="10" spans="1:6" x14ac:dyDescent="0.25">
      <c r="A10" t="s">
        <v>46</v>
      </c>
      <c r="B10" s="18">
        <f>B6*Assumptions!B9</f>
        <v>3911565926.8404427</v>
      </c>
      <c r="C10" s="18">
        <f>C6*Assumptions!B9</f>
        <v>4249632208.5598116</v>
      </c>
      <c r="D10" s="18">
        <f>D6*Assumptions!B9</f>
        <v>4616916663.505236</v>
      </c>
      <c r="E10" s="18">
        <f>E6*Assumptions!B9</f>
        <v>5015944540.992696</v>
      </c>
      <c r="F10" s="18">
        <f>F6*Assumptions!B9</f>
        <v>5449459340.947424</v>
      </c>
    </row>
    <row r="11" spans="1:6" x14ac:dyDescent="0.25">
      <c r="A11" t="s">
        <v>47</v>
      </c>
      <c r="B11" s="18">
        <f>-B6*Assumptions!B10</f>
        <v>-9941508760.245626</v>
      </c>
      <c r="C11" s="18">
        <f>-C6*Assumptions!B10</f>
        <v>-10800727028.35533</v>
      </c>
      <c r="D11" s="18">
        <f>-D6*Assumptions!B10</f>
        <v>-11734205255.396578</v>
      </c>
      <c r="E11" s="18">
        <f>-E6*Assumptions!B10</f>
        <v>-12748361532.912802</v>
      </c>
      <c r="F11" s="18">
        <f>-F6*Assumptions!B10</f>
        <v>-13850168651.09866</v>
      </c>
    </row>
    <row r="12" spans="1:6" x14ac:dyDescent="0.25">
      <c r="A12" t="s">
        <v>48</v>
      </c>
      <c r="B12" s="18">
        <f>-(B6-Assumptions!B29)*Assumptions!B11</f>
        <v>-307671830.2777034</v>
      </c>
      <c r="C12" s="18">
        <f>-(C6-B6)*Assumptions!B11</f>
        <v>-334263091.5774437</v>
      </c>
      <c r="D12" s="18">
        <f>-(D6-C6)*Assumptions!B11</f>
        <v>-363152565.1537937</v>
      </c>
      <c r="E12" s="18">
        <f>-(E6-D6)*Assumptions!B11</f>
        <v>-394538879.4060916</v>
      </c>
      <c r="F12" s="18">
        <f>-(F6-E6)*Assumptions!B11</f>
        <v>-428637829.6600836</v>
      </c>
    </row>
    <row r="13" spans="1:6" x14ac:dyDescent="0.25">
      <c r="A13" s="19" t="s">
        <v>49</v>
      </c>
      <c r="B13" s="20">
        <f>B9+B10+B11+B12</f>
        <v>-5217872117.459331</v>
      </c>
      <c r="C13" s="20">
        <f>C9+C10+C11+C12</f>
        <v>-5668838982.962605</v>
      </c>
      <c r="D13" s="20">
        <f>D9+D10+D11+D12</f>
        <v>-6158781720.086296</v>
      </c>
      <c r="E13" s="20">
        <f>E9+E10+E11+E12</f>
        <v>-6691068910.171467</v>
      </c>
      <c r="F13" s="20">
        <f>F9+F10+F11+F12</f>
        <v>-7269360272.121458</v>
      </c>
    </row>
    <row r="14" spans="1:6" x14ac:dyDescent="0.25">
      <c r="A14" t="s">
        <v>50</v>
      </c>
      <c r="B14" s="21">
        <f>1/(1+Assumptions!$B$26)^(1-0.5*Assumptions!$B$32)</f>
        <v>0.966281069394008</v>
      </c>
      <c r="C14" s="21">
        <f>1/(1+Assumptions!$B$26)^(2-0.5*Assumptions!$B$32)</f>
        <v>0.9022157697385214</v>
      </c>
      <c r="D14" s="21">
        <f>1/(1+Assumptions!$B$26)^(3-0.5*Assumptions!$B$32)</f>
        <v>0.8423980567842018</v>
      </c>
      <c r="E14" s="21">
        <f>1/(1+Assumptions!$B$26)^(4-0.5*Assumptions!$B$32)</f>
        <v>0.7865463117314655</v>
      </c>
      <c r="F14" s="21">
        <f>1/(1+Assumptions!$B$26)^(5-0.5*Assumptions!$B$32)</f>
        <v>0.734397587359171</v>
      </c>
    </row>
    <row r="15" spans="1:6" x14ac:dyDescent="0.25">
      <c r="A15" s="19" t="s">
        <v>51</v>
      </c>
      <c r="B15" s="20">
        <f>B13*B14</f>
        <v>-5041931049.619779</v>
      </c>
      <c r="C15" s="20">
        <f>C13*C14</f>
        <v>-5114515926.537344</v>
      </c>
      <c r="D15" s="20">
        <f>D13*D14</f>
        <v>-5188145753.158759</v>
      </c>
      <c r="E15" s="20">
        <f>E13*E14</f>
        <v>-5262835572.836444</v>
      </c>
      <c r="F15" s="20">
        <f>F13*F14</f>
        <v>-5338600645.490606</v>
      </c>
    </row>
    <row r="17" spans="1:2" x14ac:dyDescent="0.25">
      <c r="A17" s="22" t="s">
        <v>52</v>
      </c>
      <c r="B17" s="23">
        <f>SUM(B15:F15)</f>
        <v>-25946028947.642937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-7269360272.121458</v>
      </c>
    </row>
    <row r="5" spans="1:2" x14ac:dyDescent="0.25">
      <c r="A5" t="s">
        <v>56</v>
      </c>
      <c r="B5" s="18">
        <f>IF(Assumptions!$B$33=0,B4,B4-Forecast!F11-Forecast!F10-Forecast!F12)</f>
        <v>1578751002.4779708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0.35206881673473</v>
      </c>
    </row>
    <row r="7" spans="1:2" x14ac:dyDescent="0.25">
      <c r="A7" t="s">
        <v>58</v>
      </c>
      <c r="B7" s="18">
        <f>-MAX(Forecast!F9,0)*B6</f>
        <v>-555828997.3611879</v>
      </c>
    </row>
    <row r="8" spans="1:2" x14ac:dyDescent="0.25">
      <c r="A8" t="s">
        <v>59</v>
      </c>
      <c r="B8" s="18">
        <f>IF(OR(Assumptions!$B$33=0,Assumptions!B12&lt;=0),B5,MAX(B5+B7,0))</f>
        <v>1022922005.1167829</v>
      </c>
    </row>
    <row r="9" spans="1:2" x14ac:dyDescent="0.25">
      <c r="A9" t="s">
        <v>60</v>
      </c>
      <c r="B9" s="18">
        <f>B8*(1+Assumptions!B12)/(Assumptions!B26-Assumptions!B12)</f>
        <v>22788988891.808704</v>
      </c>
    </row>
    <row r="10" spans="1:2" x14ac:dyDescent="0.25">
      <c r="A10" t="s">
        <v>61</v>
      </c>
      <c r="B10" s="18">
        <f>B9/(1+Assumptions!B26)^(5-0.5*Assumptions!B32)</f>
        <v>16736178460.499262</v>
      </c>
    </row>
    <row r="11" spans="1:2" x14ac:dyDescent="0.25">
      <c r="A11" t="s">
        <v>62</v>
      </c>
      <c r="B11" s="18">
        <f>Forecast!B17+B10</f>
        <v>-9209850487.143675</v>
      </c>
    </row>
    <row r="12" spans="1:2" x14ac:dyDescent="0.25">
      <c r="A12" t="s">
        <v>63</v>
      </c>
      <c r="B12" s="18">
        <f>-Assumptions!B30</f>
        <v>-2192224000</v>
      </c>
    </row>
    <row r="13" spans="1:2" x14ac:dyDescent="0.25">
      <c r="A13" t="s">
        <v>64</v>
      </c>
      <c r="B13" s="18">
        <f>B11+B12</f>
        <v>-11402074487.143675</v>
      </c>
    </row>
    <row r="14" spans="1:2" x14ac:dyDescent="0.25">
      <c r="A14" s="19" t="s">
        <v>65</v>
      </c>
      <c r="B14" s="24">
        <f>B13/Assumptions!B31</f>
        <v>-1.4236571186297107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7118969140.746901</v>
      </c>
    </row>
    <row r="18" spans="1:2" x14ac:dyDescent="0.25">
      <c r="A18" t="s">
        <v>60</v>
      </c>
      <c r="B18" s="18">
        <f>B17*Assumptions!B13</f>
        <v>142379382814.93802</v>
      </c>
    </row>
    <row r="19" spans="1:2" x14ac:dyDescent="0.25">
      <c r="A19" t="s">
        <v>61</v>
      </c>
      <c r="B19" s="18">
        <f>B18/(1+Assumptions!B26)^(5-0.5*Assumptions!B32)</f>
        <v>104563075228.9783</v>
      </c>
    </row>
    <row r="20" spans="1:2" x14ac:dyDescent="0.25">
      <c r="A20" t="s">
        <v>62</v>
      </c>
      <c r="B20" s="18">
        <f>Forecast!B17+B19</f>
        <v>78617046281.33536</v>
      </c>
    </row>
    <row r="21" spans="1:2" x14ac:dyDescent="0.25">
      <c r="A21" t="s">
        <v>63</v>
      </c>
      <c r="B21" s="18">
        <f>-Assumptions!B30</f>
        <v>-2192224000</v>
      </c>
    </row>
    <row r="22" spans="1:2" x14ac:dyDescent="0.25">
      <c r="A22" t="s">
        <v>64</v>
      </c>
      <c r="B22" s="18">
        <f>B20+B21</f>
        <v>76424822281.33536</v>
      </c>
    </row>
    <row r="23" spans="1:2" x14ac:dyDescent="0.25">
      <c r="A23" s="19" t="s">
        <v>65</v>
      </c>
      <c r="B23" s="25">
        <f>B22/Assumptions!B31</f>
        <v>9.542363751746521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65.15</v>
      </c>
    </row>
    <row r="27" spans="1:3" x14ac:dyDescent="0.25">
      <c r="A27" t="s">
        <v>70</v>
      </c>
      <c r="B27" s="27">
        <v>7.8441</v>
      </c>
      <c r="C27" s="8" t="s">
        <v>71</v>
      </c>
    </row>
    <row r="28" spans="1:2" x14ac:dyDescent="0.25">
      <c r="A28" t="s">
        <v>72</v>
      </c>
      <c r="B28" s="28">
        <f>B14*B27</f>
        <v>-11.167308804243314</v>
      </c>
    </row>
    <row r="29" spans="1:2" x14ac:dyDescent="0.25">
      <c r="A29" s="19" t="s">
        <v>73</v>
      </c>
      <c r="B29" s="12">
        <f>B28/B26-1</f>
        <v>-1.1714091911625988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0.051009</v>
      </c>
      <c r="B5" s="31">
        <v>-0.5370545740686445</v>
      </c>
      <c r="C5" s="31">
        <v>-0.5216080983212059</v>
      </c>
      <c r="D5" s="31">
        <v>-0.5061616225737678</v>
      </c>
      <c r="E5" s="31">
        <v>-0.49071514682632833</v>
      </c>
      <c r="F5" s="31">
        <v>-0.4752686710788902</v>
      </c>
    </row>
    <row r="6" spans="1:6" x14ac:dyDescent="0.25">
      <c r="A6" s="30">
        <v>0.061009</v>
      </c>
      <c r="B6" s="31">
        <v>-1.0790813280409355</v>
      </c>
      <c r="C6" s="31">
        <v>-1.0667054659220092</v>
      </c>
      <c r="D6" s="31">
        <v>-1.0543296038030845</v>
      </c>
      <c r="E6" s="31">
        <v>-1.0419537416841593</v>
      </c>
      <c r="F6" s="31">
        <v>-1.029577879565234</v>
      </c>
    </row>
    <row r="7" spans="1:6" x14ac:dyDescent="0.25">
      <c r="A7" s="30">
        <v>0.071009</v>
      </c>
      <c r="B7" s="31">
        <v>-1.444048830822369</v>
      </c>
      <c r="C7" s="31">
        <v>-1.433855344707876</v>
      </c>
      <c r="D7" s="32">
        <v>-1.4236618585933838</v>
      </c>
      <c r="E7" s="31">
        <v>-1.4134683724788915</v>
      </c>
      <c r="F7" s="31">
        <v>-1.4032748863643993</v>
      </c>
    </row>
    <row r="8" spans="1:6" x14ac:dyDescent="0.25">
      <c r="A8" s="30">
        <v>0.081009</v>
      </c>
      <c r="B8" s="31">
        <v>-1.6988106347328913</v>
      </c>
      <c r="C8" s="31">
        <v>-1.6902414400619667</v>
      </c>
      <c r="D8" s="31">
        <v>-1.6816722453910429</v>
      </c>
      <c r="E8" s="31">
        <v>-1.6731030507201183</v>
      </c>
      <c r="F8" s="31">
        <v>-1.6645338560491945</v>
      </c>
    </row>
    <row r="9" spans="1:6" x14ac:dyDescent="0.25">
      <c r="A9" s="30">
        <v>0.091009</v>
      </c>
      <c r="B9" s="31">
        <v>-1.8807588902975398</v>
      </c>
      <c r="C9" s="31">
        <v>-1.8734408746787854</v>
      </c>
      <c r="D9" s="31">
        <v>-1.8661228590600312</v>
      </c>
      <c r="E9" s="31">
        <v>-1.8588048434412765</v>
      </c>
      <c r="F9" s="31">
        <v>-1.8514868278225223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9326799000</v>
      </c>
      <c r="C5" s="18">
        <v>8029921000</v>
      </c>
      <c r="D5" s="18">
        <v>6321560000</v>
      </c>
      <c r="E5" s="18">
        <v>7273284000</v>
      </c>
      <c r="F5" s="8" t="s">
        <v>84</v>
      </c>
    </row>
    <row r="6" spans="1:6" x14ac:dyDescent="0.25">
      <c r="A6" t="s">
        <v>44</v>
      </c>
      <c r="B6" s="18">
        <v>1040842000</v>
      </c>
      <c r="C6" s="18">
        <v>474007000</v>
      </c>
      <c r="D6" s="18">
        <v>356492000</v>
      </c>
      <c r="E6" s="18">
        <v>1789492000</v>
      </c>
      <c r="F6" s="8" t="s">
        <v>85</v>
      </c>
    </row>
    <row r="7" spans="1:6" x14ac:dyDescent="0.25">
      <c r="A7" t="s">
        <v>86</v>
      </c>
      <c r="B7" s="18">
        <v>3810010000</v>
      </c>
      <c r="C7" s="18">
        <v>3223063000</v>
      </c>
      <c r="D7" s="18">
        <v>2667291000</v>
      </c>
      <c r="E7" s="18">
        <v>2271361000</v>
      </c>
      <c r="F7" s="8" t="s">
        <v>87</v>
      </c>
    </row>
    <row r="8" spans="1:6" x14ac:dyDescent="0.25">
      <c r="A8" t="s">
        <v>88</v>
      </c>
      <c r="B8" s="18">
        <v>8403471000</v>
      </c>
      <c r="C8" s="18">
        <v>7669891000</v>
      </c>
      <c r="D8" s="18">
        <v>7633447000</v>
      </c>
      <c r="E8" s="18">
        <v>6260546000</v>
      </c>
      <c r="F8" s="8" t="s">
        <v>89</v>
      </c>
    </row>
    <row r="9" spans="1:6" x14ac:dyDescent="0.25">
      <c r="A9" t="s">
        <v>90</v>
      </c>
      <c r="B9" s="18">
        <v>2079503000</v>
      </c>
      <c r="C9" s="18">
        <v>652054000</v>
      </c>
      <c r="D9" s="18">
        <v>510096000</v>
      </c>
      <c r="E9" s="18">
        <v>-893576000</v>
      </c>
      <c r="F9" s="8" t="s">
        <v>91</v>
      </c>
    </row>
    <row r="10" spans="1:6" x14ac:dyDescent="0.25">
      <c r="A10" t="s">
        <v>92</v>
      </c>
      <c r="B10" s="18">
        <v>12596181000</v>
      </c>
      <c r="C10" s="18">
        <v>11595997000</v>
      </c>
      <c r="D10" s="18">
        <v>10208666000</v>
      </c>
      <c r="E10" s="18">
        <v>8694432000</v>
      </c>
      <c r="F10" s="8" t="s">
        <v>93</v>
      </c>
    </row>
    <row r="11" spans="1:6" x14ac:dyDescent="0.25">
      <c r="A11" t="s">
        <v>94</v>
      </c>
      <c r="B11" s="18">
        <v>10403957000</v>
      </c>
      <c r="C11" s="18">
        <v>10843372000</v>
      </c>
      <c r="D11" s="18">
        <v>9378678000</v>
      </c>
      <c r="E11" s="18">
        <v>12431069000</v>
      </c>
      <c r="F11" s="8" t="s">
        <v>95</v>
      </c>
    </row>
    <row r="12" spans="1:6" x14ac:dyDescent="0.25">
      <c r="A12" t="s">
        <v>32</v>
      </c>
      <c r="B12" s="34">
        <v>8009003248</v>
      </c>
      <c r="C12" s="34">
        <v>7976149966</v>
      </c>
      <c r="D12" s="34">
        <v>7964014744</v>
      </c>
      <c r="E12" s="34">
        <v>7939473313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8" ht="54" customHeight="1" spans="1:6" x14ac:dyDescent="0.25">
      <c r="A18" s="35" t="s">
        <v>100</v>
      </c>
      <c r="B18" s="35"/>
      <c r="C18" s="35"/>
      <c r="D18" s="35"/>
      <c r="E18" s="35"/>
      <c r="F18" s="35"/>
    </row>
    <row r="19" ht="22" customHeight="1" spans="1:6" x14ac:dyDescent="0.25">
      <c r="A19" s="35" t="s">
        <v>101</v>
      </c>
      <c r="B19" s="35"/>
      <c r="C19" s="35"/>
      <c r="D19" s="35"/>
      <c r="E19" s="35"/>
      <c r="F19" s="35"/>
    </row>
    <row r="20" ht="38" customHeight="1" spans="1:6" x14ac:dyDescent="0.25">
      <c r="A20" s="35" t="s">
        <v>102</v>
      </c>
      <c r="B20" s="35"/>
      <c r="C20" s="35"/>
      <c r="D20" s="35"/>
      <c r="E20" s="35"/>
      <c r="F20" s="35"/>
    </row>
    <row r="22" spans="1:1" x14ac:dyDescent="0.25">
      <c r="A22" s="36" t="s">
        <v>103</v>
      </c>
    </row>
  </sheetData>
  <mergeCells count="5">
    <mergeCell ref="A16:F16"/>
    <mergeCell ref="A17:F17"/>
    <mergeCell ref="A18:F18"/>
    <mergeCell ref="A19:F19"/>
    <mergeCell ref="A20:F20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2026-09-19T00:09:59Z</dcterms:modified>
</cp:coreProperties>
</file>