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<sst xmlns="http://schemas.openxmlformats.org/spreadsheetml/2006/main" count="114" uniqueCount="102">
  <si>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Lenovo Group Limited (0992.HK)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</si>
  <si>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</si>
  <si>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</si>
  <si>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</si>
  <si>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</si>
  <si>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</si>
  <si>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</si>
  <si>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</si>
  <si>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</si>
  <si>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</si>
  <si>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</si>
  <si>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</si>
  <si>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</si>
  <si>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</si>
  <si>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</si>
  <si>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</si>
  <si>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</si>
  <si>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</si>
  <si>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</si>
  <si>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</si>
  <si>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</si>
  <si>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</si>
  <si>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12.6%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</si>
  <si>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</si>
  <si>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</si>
  <si>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</si>
  <si>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</si>
  <si>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</si>
  <si>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</si>
  <si>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</si>
  <si>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2026-03-31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</si>
  <si>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</si>
  <si>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</si>
  <si>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</si>
  <si>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</si>
  <si>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</si>
  <si>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</si>
  <si>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</si>
  <si>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</si>
  <si>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</si>
  <si>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</si>
  <si>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</si>
  <si>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</si>
  <si>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</si>
  <si>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</si>
  <si>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</si>
  <si>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</si>
  <si>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</si>
  <si>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</si>
  <si>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</si>
  <si>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</si>
  <si>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</si>
  <si>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</si>
  <si>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</si>
  <si>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</si>
  <si>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</si>
  <si>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</si>
  <si>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</si>
  <si>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</si>
  <si>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</si>
  <si>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</si>
  <si>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</si>
  <si>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</si>
  <si>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</si>
  <si>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</si>
  <si>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</si>
  <si>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</si>
  <si>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</si>
  <si>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</si>
  <si>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</si>
  <si>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USD to HKD</t>
  </si>
  <si>
    <t>USD/HKD at 7.8441</t>
  </si>
  <si>
    <t>Value per share (HKD)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</si>
  <si>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</si>
  <si>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</si>
  <si>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</si>
  <si>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</si>
  <si>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</si>
  <si>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</si>
  <si>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</si>
  <si>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</si>
  <si>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</si>
  <si>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</si>
  <si>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</si>
  <si>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</si>
  <si>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</si>
  <si>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</si>
  <si>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</si>
  <si>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</si>
  <si>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</si>
  <si>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</si>
  <si>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</si>
  <si>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</si>
  <si>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</si>
  <si>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</si>
  <si>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</si>
  <si>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</si>
  <si>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</si>
  <si>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HKD. Modelled in USD, converted at the end.</t>
  </si>
  <si>
    <t>Note: Risk-free rate is an assumption: HKD assumption - no free live source available for this market.</t>
  </si>
  <si>
    <t>Current EV/EBITDA of 99.7x sits outside a defensible 3-20x band, so the exit multiple is capped at 20.0x. A multiple that far out usually means EBITDA is the wrong denominator for this business.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</si>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</sst>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0.10276487021198366</v>
      </c>
    </row>
    <row r="7" spans="1:2" x14ac:dyDescent="0.25">
      <c r="A7" t="s">
        <v>5</v>
      </c>
      <c r="B7" s="6">
        <v>0.03723709486187479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0.02107592773392857</v>
      </c>
    </row>
    <row r="10" spans="1:2" x14ac:dyDescent="0.25">
      <c r="A10" t="s">
        <v>8</v>
      </c>
      <c r="B10" s="6">
        <v>0.02178284820935402</v>
      </c>
    </row>
    <row r="11" spans="1:2" x14ac:dyDescent="0.25">
      <c r="A11" t="s">
        <v>9</v>
      </c>
      <c r="B11" s="6">
        <v>-0.027243267000233683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0.20103404213793502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1.08978</v>
      </c>
      <c r="C19" s="8" t="s">
        <v>19</v>
      </c>
    </row>
    <row r="20" spans="1:2" x14ac:dyDescent="0.25">
      <c r="A20" t="s">
        <v>20</v>
      </c>
      <c r="B20" s="10">
        <f>B17+B19*B18</f>
        <v>0.10828460000000001</v>
      </c>
    </row>
    <row r="21" spans="1:3" x14ac:dyDescent="0.25">
      <c r="A21" t="s">
        <v>21</v>
      </c>
      <c r="B21" s="6">
        <v>0.052000000000000005</v>
      </c>
      <c r="C21" s="8" t="s">
        <v>22</v>
      </c>
    </row>
    <row r="22" spans="1:2" x14ac:dyDescent="0.25">
      <c r="A22" t="s">
        <v>23</v>
      </c>
      <c r="B22" s="11">
        <v>466167103488</v>
      </c>
    </row>
    <row r="23" spans="1:2" x14ac:dyDescent="0.25">
      <c r="A23" t="s">
        <v>24</v>
      </c>
      <c r="B23" s="11">
        <v>5156452000</v>
      </c>
    </row>
    <row r="24" spans="1:2" x14ac:dyDescent="0.25">
      <c r="A24" t="s">
        <v>25</v>
      </c>
      <c r="B24" s="10">
        <f>B22/(B22+B23)</f>
        <v>0.9890596344274347</v>
      </c>
    </row>
    <row r="25" spans="1:2" x14ac:dyDescent="0.25">
      <c r="A25" t="s">
        <v>26</v>
      </c>
      <c r="B25" s="10">
        <f>1-B24</f>
        <v>0.01094036557256528</v>
      </c>
    </row>
    <row r="26" spans="1:2" x14ac:dyDescent="0.25">
      <c r="A26" t="s">
        <v>27</v>
      </c>
      <c r="B26" s="12">
        <f>B24*B20+B25*B21*(1-B8)</f>
        <v>0.10757495756328178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83074555000</v>
      </c>
      <c r="C29" s="8" t="s">
        <v>30</v>
      </c>
    </row>
    <row r="30" spans="1:2" x14ac:dyDescent="0.25">
      <c r="A30" t="s">
        <v>31</v>
      </c>
      <c r="B30" s="11">
        <v>252892000</v>
      </c>
    </row>
    <row r="31" spans="1:2" x14ac:dyDescent="0.25">
      <c r="A31" t="s">
        <v>32</v>
      </c>
      <c r="B31" s="13">
        <v>14731835863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0.10276487021198366</v>
      </c>
      <c r="C5" s="10">
        <f>Assumptions!B6</f>
        <v>0.10276487021198366</v>
      </c>
      <c r="D5" s="10">
        <f>Assumptions!B6</f>
        <v>0.10276487021198366</v>
      </c>
      <c r="E5" s="10">
        <f>Assumptions!B6</f>
        <v>0.10276487021198366</v>
      </c>
      <c r="F5" s="10">
        <f>Assumptions!B6</f>
        <v>0.10276487021198366</v>
      </c>
    </row>
    <row r="6" spans="1:6" x14ac:dyDescent="0.25">
      <c r="A6" t="s">
        <v>43</v>
      </c>
      <c r="B6" s="18">
        <f>Assumptions!B29*(1+B5)</f>
        <v>91611700862.4933</v>
      </c>
      <c r="C6" s="18">
        <f>B6*(1+C5)</f>
        <v>101026165411.5265</v>
      </c>
      <c r="D6" s="18">
        <f>C6*(1+D5)</f>
        <v>111408106188.05641</v>
      </c>
      <c r="E6" s="18">
        <f>D6*(1+E5)</f>
        <v>122856945761.03493</v>
      </c>
      <c r="F6" s="18">
        <f>E6*(1+F5)</f>
        <v>135482323846.8084</v>
      </c>
    </row>
    <row r="7" spans="1:6" x14ac:dyDescent="0.25">
      <c r="A7" t="s">
        <v>5</v>
      </c>
      <c r="B7" s="10">
        <f>Assumptions!B7</f>
        <v>0.03723709486187479</v>
      </c>
      <c r="C7" s="10">
        <f>Assumptions!B7</f>
        <v>0.03723709486187479</v>
      </c>
      <c r="D7" s="10">
        <f>Assumptions!B7</f>
        <v>0.03723709486187479</v>
      </c>
      <c r="E7" s="10">
        <f>Assumptions!B7</f>
        <v>0.03723709486187479</v>
      </c>
      <c r="F7" s="10">
        <f>Assumptions!B7</f>
        <v>0.03723709486187479</v>
      </c>
    </row>
    <row r="8" spans="1:6" x14ac:dyDescent="0.25">
      <c r="A8" t="s">
        <v>44</v>
      </c>
      <c r="B8" s="18">
        <f>B6*B7</f>
        <v>3411353595.47436</v>
      </c>
      <c r="C8" s="18">
        <f>C6*C7</f>
        <v>3761920904.9604664</v>
      </c>
      <c r="D8" s="18">
        <f>D6*D7</f>
        <v>4148514218.506477</v>
      </c>
      <c r="E8" s="18">
        <f>E6*E7</f>
        <v>4574835743.743864</v>
      </c>
      <c r="F8" s="18">
        <f>F6*F7</f>
        <v>5044968145.1908455</v>
      </c>
    </row>
    <row r="9" spans="1:6" x14ac:dyDescent="0.25">
      <c r="A9" t="s">
        <v>45</v>
      </c>
      <c r="B9" s="18">
        <f>B8*(1-Assumptions!B8)</f>
        <v>2848480252.2210903</v>
      </c>
      <c r="C9" s="18">
        <f>C8*(1-Assumptions!B8)</f>
        <v>3141203955.641989</v>
      </c>
      <c r="D9" s="18">
        <f>D8*(1-Assumptions!B8)</f>
        <v>3464009372.452908</v>
      </c>
      <c r="E9" s="18">
        <f>E8*(1-Assumptions!B8)</f>
        <v>3819987846.0261264</v>
      </c>
      <c r="F9" s="18">
        <f>F8*(1-Assumptions!B8)</f>
        <v>4212548401.234356</v>
      </c>
    </row>
    <row r="10" spans="1:6" x14ac:dyDescent="0.25">
      <c r="A10" t="s">
        <v>46</v>
      </c>
      <c r="B10" s="18">
        <f>B6*Assumptions!B9</f>
        <v>1930801586.9601903</v>
      </c>
      <c r="C10" s="18">
        <f>C6*Assumptions!B9</f>
        <v>2129220161.4492466</v>
      </c>
      <c r="D10" s="18">
        <f>D6*Assumptions!B9</f>
        <v>2348029194.993317</v>
      </c>
      <c r="E10" s="18">
        <f>E6*Assumptions!B9</f>
        <v>2589324110.4707537</v>
      </c>
      <c r="F10" s="18">
        <f>F6*Assumptions!B9</f>
        <v>2855415666.620041</v>
      </c>
    </row>
    <row r="11" spans="1:6" x14ac:dyDescent="0.25">
      <c r="A11" t="s">
        <v>47</v>
      </c>
      <c r="B11" s="18">
        <f>-B6*Assumptions!B10</f>
        <v>-1995563774.0884385</v>
      </c>
      <c r="C11" s="18">
        <f>-C6*Assumptions!B10</f>
        <v>-2200637626.332373</v>
      </c>
      <c r="D11" s="18">
        <f>-D6*Assumptions!B10</f>
        <v>-2426785866.3860273</v>
      </c>
      <c r="E11" s="18">
        <f>-E6*Assumptions!B10</f>
        <v>-2676174200.9774637</v>
      </c>
      <c r="F11" s="18">
        <f>-F6*Assumptions!B10</f>
        <v>-2951190895.405572</v>
      </c>
    </row>
    <row r="12" spans="1:6" x14ac:dyDescent="0.25">
      <c r="A12" t="s">
        <v>48</v>
      </c>
      <c r="B12" s="18">
        <f>-(B6-Assumptions!B29)*Assumptions!B11</f>
        <v>232579744.15184528</v>
      </c>
      <c r="C12" s="18">
        <f>-(C6-B6)*Assumptions!B11</f>
        <v>256480771.37354615</v>
      </c>
      <c r="D12" s="18">
        <f>-(D6-C6)*Assumptions!B11</f>
        <v>282837984.5556177</v>
      </c>
      <c r="E12" s="18">
        <f>-(E6-D6)*Assumptions!B11</f>
        <v>311903793.3294951</v>
      </c>
      <c r="F12" s="18">
        <f>-(F6-E6)*Assumptions!B11</f>
        <v>343956546.1696258</v>
      </c>
    </row>
    <row r="13" spans="1:6" x14ac:dyDescent="0.25">
      <c r="A13" s="19" t="s">
        <v>49</v>
      </c>
      <c r="B13" s="20">
        <f>B9+B10+B11+B12</f>
        <v>3016297809.244687</v>
      </c>
      <c r="C13" s="20">
        <f>C9+C10+C11+C12</f>
        <v>3326267262.132409</v>
      </c>
      <c r="D13" s="20">
        <f>D9+D10+D11+D12</f>
        <v>3668090685.6158156</v>
      </c>
      <c r="E13" s="20">
        <f>E9+E10+E11+E12</f>
        <v>4045041548.848911</v>
      </c>
      <c r="F13" s="20">
        <f>F9+F10+F11+F12</f>
        <v>4460729718.618451</v>
      </c>
    </row>
    <row r="14" spans="1:6" x14ac:dyDescent="0.25">
      <c r="A14" t="s">
        <v>50</v>
      </c>
      <c r="B14" s="21">
        <f>1/(1+Assumptions!$B$26)^(1-0.5*Assumptions!$B$32)</f>
        <v>0.9501965213427305</v>
      </c>
      <c r="C14" s="21">
        <f>1/(1+Assumptions!$B$26)^(2-0.5*Assumptions!$B$32)</f>
        <v>0.8579071916118512</v>
      </c>
      <c r="D14" s="21">
        <f>1/(1+Assumptions!$B$26)^(3-0.5*Assumptions!$B$32)</f>
        <v>0.774581608001763</v>
      </c>
      <c r="E14" s="21">
        <f>1/(1+Assumptions!$B$26)^(4-0.5*Assumptions!$B$32)</f>
        <v>0.699349152589979</v>
      </c>
      <c r="F14" s="21">
        <f>1/(1+Assumptions!$B$26)^(5-0.5*Assumptions!$B$32)</f>
        <v>0.6314237675873249</v>
      </c>
    </row>
    <row r="15" spans="1:6" x14ac:dyDescent="0.25">
      <c r="A15" s="19" t="s">
        <v>51</v>
      </c>
      <c r="B15" s="20">
        <f>B13*B14</f>
        <v>2866075685.6780005</v>
      </c>
      <c r="C15" s="20">
        <f>C13*C14</f>
        <v>2853628605.4064565</v>
      </c>
      <c r="D15" s="20">
        <f>D13*D14</f>
        <v>2841235581.560588</v>
      </c>
      <c r="E15" s="20">
        <f>E13*E14</f>
        <v>2828896379.3787417</v>
      </c>
      <c r="F15" s="20">
        <f>F13*F14</f>
        <v>2816610765.11881</v>
      </c>
    </row>
    <row r="17" spans="1:2" x14ac:dyDescent="0.25">
      <c r="A17" s="22" t="s">
        <v>52</v>
      </c>
      <c r="B17" s="23">
        <f>SUM(B15:F15)</f>
        <v>14206447017.142597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4460729718.618451</v>
      </c>
    </row>
    <row r="5" spans="1:2" x14ac:dyDescent="0.25">
      <c r="A5" t="s">
        <v>56</v>
      </c>
      <c r="B5" s="18">
        <f>IF(Assumptions!$B$33=0,B4,B4-Forecast!F11-Forecast!F10-Forecast!F12)</f>
        <v>5615489962.957584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0.12435704786180844</v>
      </c>
    </row>
    <row r="7" spans="1:2" x14ac:dyDescent="0.25">
      <c r="A7" t="s">
        <v>58</v>
      </c>
      <c r="B7" s="18">
        <f>-MAX(Forecast!F9,0)*B6</f>
        <v>-698325754.0910212</v>
      </c>
    </row>
    <row r="8" spans="1:2" x14ac:dyDescent="0.25">
      <c r="A8" t="s">
        <v>59</v>
      </c>
      <c r="B8" s="18">
        <f>IF(OR(Assumptions!$B$33=0,Assumptions!B12&lt;=0),B5,MAX(B5+B7,0))</f>
        <v>4917164208.866563</v>
      </c>
    </row>
    <row r="9" spans="1:2" x14ac:dyDescent="0.25">
      <c r="A9" t="s">
        <v>60</v>
      </c>
      <c r="B9" s="18">
        <f>B8*(1+Assumptions!B12)/(Assumptions!B26-Assumptions!B12)</f>
        <v>61036583763.61529</v>
      </c>
    </row>
    <row r="10" spans="1:2" x14ac:dyDescent="0.25">
      <c r="A10" t="s">
        <v>61</v>
      </c>
      <c r="B10" s="18">
        <f>B9/(1+Assumptions!B26)^(5-0.5*Assumptions!B32)</f>
        <v>38539949680.681305</v>
      </c>
    </row>
    <row r="11" spans="1:2" x14ac:dyDescent="0.25">
      <c r="A11" t="s">
        <v>62</v>
      </c>
      <c r="B11" s="18">
        <f>Forecast!B17+B10</f>
        <v>52746396697.8239</v>
      </c>
    </row>
    <row r="12" spans="1:2" x14ac:dyDescent="0.25">
      <c r="A12" t="s">
        <v>63</v>
      </c>
      <c r="B12" s="18">
        <f>-Assumptions!B30</f>
        <v>-252892000</v>
      </c>
    </row>
    <row r="13" spans="1:2" x14ac:dyDescent="0.25">
      <c r="A13" t="s">
        <v>64</v>
      </c>
      <c r="B13" s="18">
        <f>B11+B12</f>
        <v>52493504697.8239</v>
      </c>
    </row>
    <row r="14" spans="1:2" x14ac:dyDescent="0.25">
      <c r="A14" s="19" t="s">
        <v>65</v>
      </c>
      <c r="B14" s="24">
        <f>B13/Assumptions!B31</f>
        <v>3.5632697232029904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7900383811.810886</v>
      </c>
    </row>
    <row r="18" spans="1:2" x14ac:dyDescent="0.25">
      <c r="A18" t="s">
        <v>60</v>
      </c>
      <c r="B18" s="18">
        <f>B17*Assumptions!B13</f>
        <v>158007676236.2177</v>
      </c>
    </row>
    <row r="19" spans="1:2" x14ac:dyDescent="0.25">
      <c r="A19" t="s">
        <v>61</v>
      </c>
      <c r="B19" s="18">
        <f>B18/(1+Assumptions!B26)^(5-0.5*Assumptions!B32)</f>
        <v>99769802236.7908</v>
      </c>
    </row>
    <row r="20" spans="1:2" x14ac:dyDescent="0.25">
      <c r="A20" t="s">
        <v>62</v>
      </c>
      <c r="B20" s="18">
        <f>Forecast!B17+B19</f>
        <v>113976249253.9334</v>
      </c>
    </row>
    <row r="21" spans="1:2" x14ac:dyDescent="0.25">
      <c r="A21" t="s">
        <v>63</v>
      </c>
      <c r="B21" s="18">
        <f>-Assumptions!B30</f>
        <v>-252892000</v>
      </c>
    </row>
    <row r="22" spans="1:2" x14ac:dyDescent="0.25">
      <c r="A22" t="s">
        <v>64</v>
      </c>
      <c r="B22" s="18">
        <f>B20+B21</f>
        <v>113723357253.9334</v>
      </c>
    </row>
    <row r="23" spans="1:2" x14ac:dyDescent="0.25">
      <c r="A23" s="19" t="s">
        <v>65</v>
      </c>
      <c r="B23" s="25">
        <f>B22/Assumptions!B31</f>
        <v>7.719564507201528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37.58</v>
      </c>
    </row>
    <row r="27" spans="1:3" x14ac:dyDescent="0.25">
      <c r="A27" t="s">
        <v>70</v>
      </c>
      <c r="B27" s="27">
        <v>7.8441</v>
      </c>
      <c r="C27" s="8" t="s">
        <v>71</v>
      </c>
    </row>
    <row r="28" spans="1:2" x14ac:dyDescent="0.25">
      <c r="A28" t="s">
        <v>72</v>
      </c>
      <c r="B28" s="28">
        <f>B14*B27</f>
        <v>27.950644035776577</v>
      </c>
    </row>
    <row r="29" spans="1:2" x14ac:dyDescent="0.25">
      <c r="A29" s="19" t="s">
        <v>73</v>
      </c>
      <c r="B29" s="12">
        <f>B28/B26-1</f>
        <v>-0.2562361885104689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0.087575</v>
      </c>
      <c r="B5" s="31">
        <v>4.373455835547902</v>
      </c>
      <c r="C5" s="31">
        <v>4.543443139689636</v>
      </c>
      <c r="D5" s="31">
        <v>4.7395574160252965</v>
      </c>
      <c r="E5" s="31">
        <v>4.968605517927163</v>
      </c>
      <c r="F5" s="31">
        <v>5.239983686640939</v>
      </c>
    </row>
    <row r="6" spans="1:6" x14ac:dyDescent="0.25">
      <c r="A6" s="30">
        <v>0.097575</v>
      </c>
      <c r="B6" s="31">
        <v>3.821076106441472</v>
      </c>
      <c r="C6" s="31">
        <v>3.937849169174008</v>
      </c>
      <c r="D6" s="31">
        <v>4.069853024465917</v>
      </c>
      <c r="E6" s="31">
        <v>4.220468536370336</v>
      </c>
      <c r="F6" s="31">
        <v>4.394157148741639</v>
      </c>
    </row>
    <row r="7" spans="1:6" x14ac:dyDescent="0.25">
      <c r="A7" s="30">
        <v>0.107575</v>
      </c>
      <c r="B7" s="31">
        <v>3.3891763087714932</v>
      </c>
      <c r="C7" s="31">
        <v>3.4715940646517547</v>
      </c>
      <c r="D7" s="32">
        <v>3.563267835633633</v>
      </c>
      <c r="E7" s="31">
        <v>3.6659873764902438</v>
      </c>
      <c r="F7" s="31">
        <v>3.7820356572266967</v>
      </c>
    </row>
    <row r="8" spans="1:6" x14ac:dyDescent="0.25">
      <c r="A8" s="30">
        <v>0.117575</v>
      </c>
      <c r="B8" s="31">
        <v>3.0424645784237123</v>
      </c>
      <c r="C8" s="31">
        <v>3.1017877491616375</v>
      </c>
      <c r="D8" s="31">
        <v>3.166898038722615</v>
      </c>
      <c r="E8" s="31">
        <v>3.2387866749952643</v>
      </c>
      <c r="F8" s="31">
        <v>3.3186849652841546</v>
      </c>
    </row>
    <row r="9" spans="1:6" x14ac:dyDescent="0.25">
      <c r="A9" s="30">
        <v>0.127575</v>
      </c>
      <c r="B9" s="31">
        <v>2.7581920231147303</v>
      </c>
      <c r="C9" s="31">
        <v>2.801490881658875</v>
      </c>
      <c r="D9" s="31">
        <v>2.8484724930511334</v>
      </c>
      <c r="E9" s="31">
        <v>2.8997029991590106</v>
      </c>
      <c r="F9" s="31">
        <v>2.9558708517322687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83074555000</v>
      </c>
      <c r="C5" s="18">
        <v>69076968000</v>
      </c>
      <c r="D5" s="18">
        <v>56863784000</v>
      </c>
      <c r="E5" s="18">
        <v>61946854000</v>
      </c>
      <c r="F5" s="8" t="s">
        <v>84</v>
      </c>
    </row>
    <row r="6" spans="1:6" x14ac:dyDescent="0.25">
      <c r="A6" t="s">
        <v>44</v>
      </c>
      <c r="B6" s="18">
        <v>3261743000</v>
      </c>
      <c r="C6" s="18">
        <v>2164153000</v>
      </c>
      <c r="D6" s="18">
        <v>2005784000</v>
      </c>
      <c r="E6" s="18">
        <v>2668823000</v>
      </c>
      <c r="F6" s="8" t="s">
        <v>85</v>
      </c>
    </row>
    <row r="7" spans="1:6" x14ac:dyDescent="0.25">
      <c r="A7" t="s">
        <v>86</v>
      </c>
      <c r="B7" s="18">
        <v>1418231000</v>
      </c>
      <c r="C7" s="18">
        <v>1419135000</v>
      </c>
      <c r="D7" s="18">
        <v>1413153000</v>
      </c>
      <c r="E7" s="18">
        <v>1352679000</v>
      </c>
      <c r="F7" s="8" t="s">
        <v>87</v>
      </c>
    </row>
    <row r="8" spans="1:6" x14ac:dyDescent="0.25">
      <c r="A8" t="s">
        <v>88</v>
      </c>
      <c r="B8" s="18">
        <v>1858974000</v>
      </c>
      <c r="C8" s="18">
        <v>1151152000</v>
      </c>
      <c r="D8" s="18">
        <v>1285897000</v>
      </c>
      <c r="E8" s="18">
        <v>1578146000</v>
      </c>
      <c r="F8" s="8" t="s">
        <v>89</v>
      </c>
    </row>
    <row r="9" spans="1:6" x14ac:dyDescent="0.25">
      <c r="A9" t="s">
        <v>90</v>
      </c>
      <c r="B9" s="18">
        <v>-381340000</v>
      </c>
      <c r="C9" s="18">
        <v>1733675000</v>
      </c>
      <c r="D9" s="18">
        <v>150538000</v>
      </c>
      <c r="E9" s="18">
        <v>228107000</v>
      </c>
      <c r="F9" s="8" t="s">
        <v>91</v>
      </c>
    </row>
    <row r="10" spans="1:6" x14ac:dyDescent="0.25">
      <c r="A10" t="s">
        <v>92</v>
      </c>
      <c r="B10" s="18">
        <v>5156452000</v>
      </c>
      <c r="C10" s="18">
        <v>5732958000</v>
      </c>
      <c r="D10" s="18">
        <v>3961689000</v>
      </c>
      <c r="E10" s="18">
        <v>4359350000</v>
      </c>
      <c r="F10" s="8" t="s">
        <v>93</v>
      </c>
    </row>
    <row r="11" spans="1:6" x14ac:dyDescent="0.25">
      <c r="A11" t="s">
        <v>94</v>
      </c>
      <c r="B11" s="18">
        <v>4903560000</v>
      </c>
      <c r="C11" s="18">
        <v>4759585000</v>
      </c>
      <c r="D11" s="18">
        <v>3567402000</v>
      </c>
      <c r="E11" s="18">
        <v>4260945000</v>
      </c>
      <c r="F11" s="8" t="s">
        <v>95</v>
      </c>
    </row>
    <row r="12" spans="1:6" x14ac:dyDescent="0.25">
      <c r="A12" t="s">
        <v>32</v>
      </c>
      <c r="B12" s="34">
        <v>14731835863</v>
      </c>
      <c r="C12" s="34">
        <v>12404659302</v>
      </c>
      <c r="D12" s="34">
        <v>12994225140</v>
      </c>
      <c r="E12" s="34">
        <v>12969778096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2026-09-19T00:08:42Z</dcterms:modified>
</cp:coreProperties>
</file>