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<sst xmlns="http://schemas.openxmlformats.org/spreadsheetml/2006/main" count="113" uniqueCount="101">
  <si>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CK Infrastructure Holdings Limited (1038.HK)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</si>
  <si>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</si>
  <si>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</si>
  <si>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</si>
  <si>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</si>
  <si>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</si>
  <si>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</si>
  <si>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</si>
  <si>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</si>
  <si>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</si>
  <si>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</si>
  <si>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</si>
  <si>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</si>
  <si>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</si>
  <si>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</si>
  <si>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</si>
  <si>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</si>
  <si>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</si>
  <si>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</si>
  <si>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</si>
  <si>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</si>
  <si>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</si>
  <si>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</si>
  <si>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</si>
  <si>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</si>
  <si>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</si>
  <si>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</si>
  <si>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</si>
  <si>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</si>
  <si>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</si>
  <si>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</si>
  <si>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</si>
  <si>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</si>
  <si>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</si>
  <si>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</si>
  <si>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</si>
  <si>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</si>
  <si>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</si>
  <si>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</si>
  <si>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</si>
  <si>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</si>
  <si>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</si>
  <si>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</si>
  <si>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</si>
  <si>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</si>
  <si>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</si>
  <si>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</si>
  <si>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</si>
  <si>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</si>
  <si>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</si>
  <si>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</si>
  <si>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</si>
  <si>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</si>
  <si>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</si>
  <si>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</si>
  <si>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</si>
  <si>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</si>
  <si>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</si>
  <si>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</si>
  <si>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</si>
  <si>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</si>
  <si>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</si>
  <si>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</si>
  <si>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</si>
  <si>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</si>
  <si>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</si>
  <si>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</si>
  <si>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</si>
  <si>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</si>
  <si>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</si>
  <si>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</si>
  <si>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</si>
  <si>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</si>
  <si>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</si>
  <si>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</si>
  <si>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</si>
  <si>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</si>
  <si>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</si>
  <si>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</si>
  <si>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</si>
  <si>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</si>
  <si>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</si>
  <si>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</si>
  <si>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</si>
  <si>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</si>
  <si>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</si>
  <si>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</si>
  <si>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</si>
  <si>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</si>
  <si>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</si>
  <si>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</si>
  <si>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</si>
  <si>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</si>
  <si>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</si>
  <si>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</si>
  <si>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</si>
  <si>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</si>
  <si>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</si>
  <si>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HKD assumption - no free live source available for this market.</t>
  </si>
  <si>
    <t>Current EV/EBITDA of 329.6x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</si>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</sst>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-0.1258916122074316</v>
      </c>
    </row>
    <row r="7" spans="1:2" x14ac:dyDescent="0.25">
      <c r="A7" t="s">
        <v>5</v>
      </c>
      <c r="B7" s="6">
        <v>0.2078714375576218</v>
      </c>
    </row>
    <row r="8" spans="1:2" x14ac:dyDescent="0.25">
      <c r="A8" t="s">
        <v>6</v>
      </c>
      <c r="B8" s="6">
        <v>0.014560027678468458</v>
      </c>
    </row>
    <row r="9" spans="1:2" x14ac:dyDescent="0.25">
      <c r="A9" t="s">
        <v>7</v>
      </c>
      <c r="B9" s="6">
        <v>0.06481354803358175</v>
      </c>
    </row>
    <row r="10" spans="1:2" x14ac:dyDescent="0.25">
      <c r="A10" t="s">
        <v>8</v>
      </c>
      <c r="B10" s="6">
        <v>0.07036628162998064</v>
      </c>
    </row>
    <row r="11" spans="1:2" x14ac:dyDescent="0.25">
      <c r="A11" t="s">
        <v>9</v>
      </c>
      <c r="B11" s="6">
        <v>0.184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0.08334652574998651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0.80905</v>
      </c>
      <c r="C19" s="8" t="s">
        <v>19</v>
      </c>
    </row>
    <row r="20" spans="1:2" x14ac:dyDescent="0.25">
      <c r="A20" t="s">
        <v>20</v>
      </c>
      <c r="B20" s="10">
        <f>B17+B19*B18</f>
        <v>0.0886335</v>
      </c>
    </row>
    <row r="21" spans="1:3" x14ac:dyDescent="0.25">
      <c r="A21" t="s">
        <v>21</v>
      </c>
      <c r="B21" s="6">
        <v>0.04223528239864528</v>
      </c>
      <c r="C21" s="8" t="s">
        <v>22</v>
      </c>
    </row>
    <row r="22" spans="1:2" x14ac:dyDescent="0.25">
      <c r="A22" t="s">
        <v>23</v>
      </c>
      <c r="B22" s="11">
        <v>164782555136</v>
      </c>
    </row>
    <row r="23" spans="1:2" x14ac:dyDescent="0.25">
      <c r="A23" t="s">
        <v>24</v>
      </c>
      <c r="B23" s="11">
        <v>20879000000</v>
      </c>
    </row>
    <row r="24" spans="1:2" x14ac:dyDescent="0.25">
      <c r="A24" t="s">
        <v>25</v>
      </c>
      <c r="B24" s="10">
        <f>B22/(B22+B23)</f>
        <v>0.8875426849424707</v>
      </c>
    </row>
    <row r="25" spans="1:2" x14ac:dyDescent="0.25">
      <c r="A25" t="s">
        <v>26</v>
      </c>
      <c r="B25" s="10">
        <f>1-B24</f>
        <v>0.11245731505752932</v>
      </c>
    </row>
    <row r="26" spans="1:2" x14ac:dyDescent="0.25">
      <c r="A26" t="s">
        <v>27</v>
      </c>
      <c r="B26" s="12">
        <f>B24*B20+B25*B21*(1-B8)</f>
        <v>0.08334652574998651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4418000000</v>
      </c>
      <c r="C29" s="8" t="s">
        <v>30</v>
      </c>
    </row>
    <row r="30" spans="1:2" x14ac:dyDescent="0.25">
      <c r="A30" t="s">
        <v>31</v>
      </c>
      <c r="B30" s="11">
        <v>13529000000</v>
      </c>
    </row>
    <row r="31" spans="1:2" x14ac:dyDescent="0.25">
      <c r="A31" t="s">
        <v>32</v>
      </c>
      <c r="B31" s="13">
        <v>2519610945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-0.1258916122074316</v>
      </c>
      <c r="C5" s="10">
        <f>Assumptions!B6</f>
        <v>-0.1258916122074316</v>
      </c>
      <c r="D5" s="10">
        <f>Assumptions!B6</f>
        <v>-0.1258916122074316</v>
      </c>
      <c r="E5" s="10">
        <f>Assumptions!B6</f>
        <v>-0.1258916122074316</v>
      </c>
      <c r="F5" s="10">
        <f>Assumptions!B6</f>
        <v>-0.1258916122074316</v>
      </c>
    </row>
    <row r="6" spans="1:6" x14ac:dyDescent="0.25">
      <c r="A6" t="s">
        <v>43</v>
      </c>
      <c r="B6" s="18">
        <f>Assumptions!B29*(1+B5)</f>
        <v>3861810857.267567</v>
      </c>
      <c r="C6" s="18">
        <f>B6*(1+C5)</f>
        <v>3375641262.4059896</v>
      </c>
      <c r="D6" s="18">
        <f>C6*(1+D5)</f>
        <v>2950676341.64777</v>
      </c>
      <c r="E6" s="18">
        <f>D6*(1+E5)</f>
        <v>2579210939.895406</v>
      </c>
      <c r="F6" s="18">
        <f>E6*(1+F5)</f>
        <v>2254509916.4489284</v>
      </c>
    </row>
    <row r="7" spans="1:6" x14ac:dyDescent="0.25">
      <c r="A7" t="s">
        <v>5</v>
      </c>
      <c r="B7" s="10">
        <f>Assumptions!B7</f>
        <v>0.2078714375576218</v>
      </c>
      <c r="C7" s="10">
        <f>Assumptions!B7</f>
        <v>0.2078714375576218</v>
      </c>
      <c r="D7" s="10">
        <f>Assumptions!B7</f>
        <v>0.2078714375576218</v>
      </c>
      <c r="E7" s="10">
        <f>Assumptions!B7</f>
        <v>0.2078714375576218</v>
      </c>
      <c r="F7" s="10">
        <f>Assumptions!B7</f>
        <v>0.2078714375576218</v>
      </c>
    </row>
    <row r="8" spans="1:6" x14ac:dyDescent="0.25">
      <c r="A8" t="s">
        <v>44</v>
      </c>
      <c r="B8" s="18">
        <f>B6*B7</f>
        <v>802760174.475841</v>
      </c>
      <c r="C8" s="18">
        <f>C6*C7</f>
        <v>701699401.8951583</v>
      </c>
      <c r="D8" s="18">
        <f>D6*D7</f>
        <v>613361332.9055864</v>
      </c>
      <c r="E8" s="18">
        <f>E6*E7</f>
        <v>536144285.8404029</v>
      </c>
      <c r="F8" s="18">
        <f>F6*F7</f>
        <v>468648217.3201526</v>
      </c>
    </row>
    <row r="9" spans="1:6" x14ac:dyDescent="0.25">
      <c r="A9" t="s">
        <v>45</v>
      </c>
      <c r="B9" s="18">
        <f>B8*(1-Assumptions!B8)</f>
        <v>791071964.1163007</v>
      </c>
      <c r="C9" s="18">
        <f>C8*(1-Assumptions!B8)</f>
        <v>691482639.1816001</v>
      </c>
      <c r="D9" s="18">
        <f>D8*(1-Assumptions!B8)</f>
        <v>604430774.9215788</v>
      </c>
      <c r="E9" s="18">
        <f>E8*(1-Assumptions!B8)</f>
        <v>528338010.19891393</v>
      </c>
      <c r="F9" s="18">
        <f>F8*(1-Assumptions!B8)</f>
        <v>461824686.3045063</v>
      </c>
    </row>
    <row r="10" spans="1:6" x14ac:dyDescent="0.25">
      <c r="A10" t="s">
        <v>46</v>
      </c>
      <c r="B10" s="18">
        <f>B6*Assumptions!B9</f>
        <v>250297663.49411896</v>
      </c>
      <c r="C10" s="18">
        <f>C6*Assumptions!B9</f>
        <v>218787287.10509112</v>
      </c>
      <c r="D10" s="18">
        <f>D6*Assumptions!B9</f>
        <v>191243802.800941</v>
      </c>
      <c r="E10" s="18">
        <f>E6*Assumptions!B9</f>
        <v>167167812.1416504</v>
      </c>
      <c r="F10" s="18">
        <f>F6*Assumptions!B9</f>
        <v>146122786.761949</v>
      </c>
    </row>
    <row r="11" spans="1:6" x14ac:dyDescent="0.25">
      <c r="A11" t="s">
        <v>47</v>
      </c>
      <c r="B11" s="18">
        <f>-B6*Assumptions!B10</f>
        <v>-271741270.3842066</v>
      </c>
      <c r="C11" s="18">
        <f>-C6*Assumptions!B10</f>
        <v>-237531323.75224325</v>
      </c>
      <c r="D11" s="18">
        <f>-D6*Assumptions!B10</f>
        <v>-207628122.45530796</v>
      </c>
      <c r="E11" s="18">
        <f>-E6*Assumptions!B10</f>
        <v>-181489483.3798072</v>
      </c>
      <c r="F11" s="18">
        <f>-F6*Assumptions!B10</f>
        <v>-158641479.71842942</v>
      </c>
    </row>
    <row r="12" spans="1:6" x14ac:dyDescent="0.25">
      <c r="A12" t="s">
        <v>48</v>
      </c>
      <c r="B12" s="18">
        <f>-(B6-Assumptions!B29)*Assumptions!B11</f>
        <v>102338802.26276764</v>
      </c>
      <c r="C12" s="18">
        <f>-(C6-B6)*Assumptions!B11</f>
        <v>89455205.45453025</v>
      </c>
      <c r="D12" s="18">
        <f>-(D6-C6)*Assumptions!B11</f>
        <v>78193545.41951242</v>
      </c>
      <c r="E12" s="18">
        <f>-(E6-D6)*Assumptions!B11</f>
        <v>68349633.922435</v>
      </c>
      <c r="F12" s="18">
        <f>-(F6-E6)*Assumptions!B11</f>
        <v>59744988.314151846</v>
      </c>
    </row>
    <row r="13" spans="1:6" x14ac:dyDescent="0.25">
      <c r="A13" s="19" t="s">
        <v>49</v>
      </c>
      <c r="B13" s="20">
        <f>B9+B10+B11+B12</f>
        <v>871967159.4889807</v>
      </c>
      <c r="C13" s="20">
        <f>C9+C10+C11+C12</f>
        <v>762193807.9889781</v>
      </c>
      <c r="D13" s="20">
        <f>D9+D10+D11+D12</f>
        <v>666240000.6867242</v>
      </c>
      <c r="E13" s="20">
        <f>E9+E10+E11+E12</f>
        <v>582365972.8831922</v>
      </c>
      <c r="F13" s="20">
        <f>F9+F10+F11+F12</f>
        <v>509050981.66217774</v>
      </c>
    </row>
    <row r="14" spans="1:6" x14ac:dyDescent="0.25">
      <c r="A14" t="s">
        <v>50</v>
      </c>
      <c r="B14" s="21">
        <f>1/(1+Assumptions!$B$26)^(1-0.5*Assumptions!$B$32)</f>
        <v>0.960763072946749</v>
      </c>
      <c r="C14" s="21">
        <f>1/(1+Assumptions!$B$26)^(2-0.5*Assumptions!$B$32)</f>
        <v>0.8868474214948217</v>
      </c>
      <c r="D14" s="21">
        <f>1/(1+Assumptions!$B$26)^(3-0.5*Assumptions!$B$32)</f>
        <v>0.8186184202518847</v>
      </c>
      <c r="E14" s="21">
        <f>1/(1+Assumptions!$B$26)^(4-0.5*Assumptions!$B$32)</f>
        <v>0.7556385706643273</v>
      </c>
      <c r="F14" s="21">
        <f>1/(1+Assumptions!$B$26)^(5-0.5*Assumptions!$B$32)</f>
        <v>0.697504032831239</v>
      </c>
    </row>
    <row r="15" spans="1:6" x14ac:dyDescent="0.25">
      <c r="A15" s="19" t="s">
        <v>51</v>
      </c>
      <c r="B15" s="20">
        <f>B13*B14</f>
        <v>837753847.659281</v>
      </c>
      <c r="C15" s="20">
        <f>C13*C14</f>
        <v>675949613.2943444</v>
      </c>
      <c r="D15" s="20">
        <f>D13*D14</f>
        <v>545396336.8707807</v>
      </c>
      <c r="E15" s="20">
        <f>E13*E14</f>
        <v>440058191.3529957</v>
      </c>
      <c r="F15" s="20">
        <f>F13*F14</f>
        <v>355065112.62607</v>
      </c>
    </row>
    <row r="17" spans="1:2" x14ac:dyDescent="0.25">
      <c r="A17" s="22" t="s">
        <v>52</v>
      </c>
      <c r="B17" s="23">
        <f>SUM(B15:F15)</f>
        <v>2854223101.803472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509050981.66217774</v>
      </c>
    </row>
    <row r="5" spans="1:2" x14ac:dyDescent="0.25">
      <c r="A5" t="s">
        <v>56</v>
      </c>
      <c r="B5" s="18">
        <f>IF(Assumptions!$B$33=0,B4,B4-Forecast!F11-Forecast!F10-Forecast!F12)</f>
        <v>471517212.7172511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0.29995251481738033</v>
      </c>
    </row>
    <row r="7" spans="1:2" x14ac:dyDescent="0.25">
      <c r="A7" t="s">
        <v>58</v>
      </c>
      <c r="B7" s="18">
        <f>-MAX(Forecast!F9,0)*B6</f>
        <v>-141432773.73422113</v>
      </c>
    </row>
    <row r="8" spans="1:2" x14ac:dyDescent="0.25">
      <c r="A8" t="s">
        <v>59</v>
      </c>
      <c r="B8" s="18">
        <f>IF(OR(Assumptions!$B$33=0,Assumptions!B12&lt;=0),B5,MAX(B5+B7,0))</f>
        <v>330084438.98302996</v>
      </c>
    </row>
    <row r="9" spans="1:2" x14ac:dyDescent="0.25">
      <c r="A9" t="s">
        <v>60</v>
      </c>
      <c r="B9" s="18">
        <f>B8*(1+Assumptions!B12)/(Assumptions!B26-Assumptions!B12)</f>
        <v>5798743723.1030655</v>
      </c>
    </row>
    <row r="10" spans="1:2" x14ac:dyDescent="0.25">
      <c r="A10" t="s">
        <v>61</v>
      </c>
      <c r="B10" s="18">
        <f>B9/(1+Assumptions!B26)^(5-0.5*Assumptions!B32)</f>
        <v>4044647132.2192216</v>
      </c>
    </row>
    <row r="11" spans="1:2" x14ac:dyDescent="0.25">
      <c r="A11" t="s">
        <v>62</v>
      </c>
      <c r="B11" s="18">
        <f>Forecast!B17+B10</f>
        <v>6898870234.022694</v>
      </c>
    </row>
    <row r="12" spans="1:2" x14ac:dyDescent="0.25">
      <c r="A12" t="s">
        <v>63</v>
      </c>
      <c r="B12" s="18">
        <f>-Assumptions!B30</f>
        <v>-13529000000</v>
      </c>
    </row>
    <row r="13" spans="1:2" x14ac:dyDescent="0.25">
      <c r="A13" t="s">
        <v>64</v>
      </c>
      <c r="B13" s="18">
        <f>B11+B12</f>
        <v>-6630129765.977306</v>
      </c>
    </row>
    <row r="14" spans="1:2" x14ac:dyDescent="0.25">
      <c r="A14" s="19" t="s">
        <v>65</v>
      </c>
      <c r="B14" s="24">
        <f>B13/Assumptions!B31</f>
        <v>-2.631410130653051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614771004.0821016</v>
      </c>
    </row>
    <row r="18" spans="1:2" x14ac:dyDescent="0.25">
      <c r="A18" t="s">
        <v>60</v>
      </c>
      <c r="B18" s="18">
        <f>B17*Assumptions!B13</f>
        <v>12295420081.642033</v>
      </c>
    </row>
    <row r="19" spans="1:2" x14ac:dyDescent="0.25">
      <c r="A19" t="s">
        <v>61</v>
      </c>
      <c r="B19" s="18">
        <f>B18/(1+Assumptions!B26)^(5-0.5*Assumptions!B32)</f>
        <v>8576105092.29952</v>
      </c>
    </row>
    <row r="20" spans="1:2" x14ac:dyDescent="0.25">
      <c r="A20" t="s">
        <v>62</v>
      </c>
      <c r="B20" s="18">
        <f>Forecast!B17+B19</f>
        <v>11430328194.102991</v>
      </c>
    </row>
    <row r="21" spans="1:2" x14ac:dyDescent="0.25">
      <c r="A21" t="s">
        <v>63</v>
      </c>
      <c r="B21" s="18">
        <f>-Assumptions!B30</f>
        <v>-13529000000</v>
      </c>
    </row>
    <row r="22" spans="1:2" x14ac:dyDescent="0.25">
      <c r="A22" t="s">
        <v>64</v>
      </c>
      <c r="B22" s="18">
        <f>B20+B21</f>
        <v>-2098671805.897009</v>
      </c>
    </row>
    <row r="23" spans="1:2" x14ac:dyDescent="0.25">
      <c r="A23" s="19" t="s">
        <v>65</v>
      </c>
      <c r="B23" s="25">
        <f>B22/Assumptions!B31</f>
        <v>-0.8329348664172471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-2.631410130653051</v>
      </c>
    </row>
    <row r="29" spans="1:2" x14ac:dyDescent="0.25">
      <c r="A29" s="19" t="s">
        <v>73</v>
      </c>
      <c r="B29" s="12">
        <f>B28/B26-1</f>
        <v>-1.040235628909068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0.063347</v>
      </c>
      <c r="B5" s="31">
        <v>-1.917144321707207</v>
      </c>
      <c r="C5" s="31">
        <v>-1.9059403895231077</v>
      </c>
      <c r="D5" s="31">
        <v>-1.8947364573390084</v>
      </c>
      <c r="E5" s="31">
        <v>-1.88353252515491</v>
      </c>
      <c r="F5" s="31">
        <v>-1.8723285929708113</v>
      </c>
    </row>
    <row r="6" spans="1:6" x14ac:dyDescent="0.25">
      <c r="A6" s="30">
        <v>0.073347</v>
      </c>
      <c r="B6" s="31">
        <v>-2.331241124009656</v>
      </c>
      <c r="C6" s="31">
        <v>-2.32196383569422</v>
      </c>
      <c r="D6" s="31">
        <v>-2.312686547378783</v>
      </c>
      <c r="E6" s="31">
        <v>-2.3034092590633457</v>
      </c>
      <c r="F6" s="31">
        <v>-2.294131970747909</v>
      </c>
    </row>
    <row r="7" spans="1:6" x14ac:dyDescent="0.25">
      <c r="A7" s="30">
        <v>0.083347</v>
      </c>
      <c r="B7" s="31">
        <v>-2.6470844749850313</v>
      </c>
      <c r="C7" s="31">
        <v>-2.639253966501782</v>
      </c>
      <c r="D7" s="32">
        <v>-2.631423458018533</v>
      </c>
      <c r="E7" s="31">
        <v>-2.6235929495352837</v>
      </c>
      <c r="F7" s="31">
        <v>-2.6157624410520346</v>
      </c>
    </row>
    <row r="8" spans="1:6" x14ac:dyDescent="0.25">
      <c r="A8" s="30">
        <v>0.093347</v>
      </c>
      <c r="B8" s="31">
        <v>-2.8962079145289557</v>
      </c>
      <c r="C8" s="31">
        <v>-2.8894994577677204</v>
      </c>
      <c r="D8" s="31">
        <v>-2.8827910010064843</v>
      </c>
      <c r="E8" s="31">
        <v>-2.8760825442452487</v>
      </c>
      <c r="F8" s="31">
        <v>-2.8693740874840135</v>
      </c>
    </row>
    <row r="9" spans="1:6" x14ac:dyDescent="0.25">
      <c r="A9" s="30">
        <v>0.103347</v>
      </c>
      <c r="B9" s="31">
        <v>-3.09794224925699</v>
      </c>
      <c r="C9" s="31">
        <v>-3.0921261519777983</v>
      </c>
      <c r="D9" s="31">
        <v>-3.0863100546986075</v>
      </c>
      <c r="E9" s="31">
        <v>-3.0804939574194163</v>
      </c>
      <c r="F9" s="31">
        <v>-3.0746778601402256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4418000000</v>
      </c>
      <c r="C5" s="18">
        <v>4993000000</v>
      </c>
      <c r="D5" s="18">
        <v>5990000000</v>
      </c>
      <c r="E5" s="18">
        <v>6615000000</v>
      </c>
      <c r="F5" s="8" t="s">
        <v>84</v>
      </c>
    </row>
    <row r="6" spans="1:6" x14ac:dyDescent="0.25">
      <c r="A6" t="s">
        <v>44</v>
      </c>
      <c r="B6" s="18">
        <v>146000000</v>
      </c>
      <c r="C6" s="18">
        <v>843000000</v>
      </c>
      <c r="D6" s="18">
        <v>1733000000</v>
      </c>
      <c r="E6" s="18">
        <v>2251000000</v>
      </c>
      <c r="F6" s="8" t="s">
        <v>85</v>
      </c>
    </row>
    <row r="7" spans="1:6" x14ac:dyDescent="0.25">
      <c r="A7" t="s">
        <v>86</v>
      </c>
      <c r="B7" s="18">
        <v>395000000</v>
      </c>
      <c r="C7" s="18">
        <v>319000000</v>
      </c>
      <c r="D7" s="18">
        <v>325000000</v>
      </c>
      <c r="E7" s="18">
        <v>342000000</v>
      </c>
      <c r="F7" s="8" t="s">
        <v>87</v>
      </c>
    </row>
    <row r="8" spans="1:6" x14ac:dyDescent="0.25">
      <c r="A8" t="s">
        <v>88</v>
      </c>
      <c r="B8" s="18">
        <v>336000000</v>
      </c>
      <c r="C8" s="18">
        <v>379000000</v>
      </c>
      <c r="D8" s="18">
        <v>342000000</v>
      </c>
      <c r="E8" s="18">
        <v>479000000</v>
      </c>
      <c r="F8" s="8" t="s">
        <v>89</v>
      </c>
    </row>
    <row r="9" spans="1:6" x14ac:dyDescent="0.25">
      <c r="A9" t="s">
        <v>90</v>
      </c>
      <c r="B9" s="18">
        <v>-336000000</v>
      </c>
      <c r="C9" s="18">
        <v>-11000000</v>
      </c>
      <c r="D9" s="18">
        <v>-115000000</v>
      </c>
      <c r="E9" s="18">
        <v>141000000</v>
      </c>
      <c r="F9" s="8" t="s">
        <v>91</v>
      </c>
    </row>
    <row r="10" spans="1:6" x14ac:dyDescent="0.25">
      <c r="A10" t="s">
        <v>92</v>
      </c>
      <c r="B10" s="18">
        <v>20879000000</v>
      </c>
      <c r="C10" s="18">
        <v>19277000000</v>
      </c>
      <c r="D10" s="18">
        <v>24235000000</v>
      </c>
      <c r="E10" s="18">
        <v>28242000000</v>
      </c>
      <c r="F10" s="8" t="s">
        <v>93</v>
      </c>
    </row>
    <row r="11" spans="1:6" x14ac:dyDescent="0.25">
      <c r="A11" t="s">
        <v>94</v>
      </c>
      <c r="B11" s="18">
        <v>7350000000</v>
      </c>
      <c r="C11" s="18">
        <v>8105000000</v>
      </c>
      <c r="D11" s="18">
        <v>13077000000</v>
      </c>
      <c r="E11" s="18">
        <v>18045000000</v>
      </c>
      <c r="F11" s="8" t="s">
        <v>95</v>
      </c>
    </row>
    <row r="12" spans="1:6" x14ac:dyDescent="0.25">
      <c r="A12" t="s">
        <v>32</v>
      </c>
      <c r="B12" s="34">
        <v>2519610945</v>
      </c>
      <c r="C12" s="34">
        <v>2519610945</v>
      </c>
      <c r="D12" s="34">
        <v>2519610945</v>
      </c>
      <c r="E12" s="34">
        <v>2519610945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2026-09-19T00:11:05Z</dcterms:modified>
</cp:coreProperties>
</file>