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<sst xmlns="http://schemas.openxmlformats.org/spreadsheetml/2006/main" count="114" uniqueCount="102">
  <si>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China Shenhua Energy Company Limited (1088.HK)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</si>
  <si>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</si>
  <si>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</si>
  <si>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</si>
  <si>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</si>
  <si>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</si>
  <si>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</si>
  <si>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</si>
  <si>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</si>
  <si>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</si>
  <si>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</si>
  <si>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</si>
  <si>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</si>
  <si>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</si>
  <si>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</si>
  <si>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</si>
  <si>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</si>
  <si>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</si>
  <si>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</si>
  <si>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</si>
  <si>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</si>
  <si>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</si>
  <si>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</si>
  <si>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</si>
  <si>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</si>
  <si>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</si>
  <si>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</si>
  <si>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</si>
  <si>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</si>
  <si>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</si>
  <si>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</si>
  <si>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</si>
  <si>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</si>
  <si>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</si>
  <si>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</si>
  <si>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</si>
  <si>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</si>
  <si>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</si>
  <si>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</si>
  <si>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</si>
  <si>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</si>
  <si>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</si>
  <si>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</si>
  <si>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</si>
  <si>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</si>
  <si>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</si>
  <si>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</si>
  <si>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</si>
  <si>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</si>
  <si>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</si>
  <si>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</si>
  <si>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</si>
  <si>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</si>
  <si>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</si>
  <si>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</si>
  <si>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</si>
  <si>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</si>
  <si>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</si>
  <si>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</si>
  <si>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</si>
  <si>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</si>
  <si>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</si>
  <si>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</si>
  <si>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</si>
  <si>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</si>
  <si>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</si>
  <si>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</si>
  <si>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</si>
  <si>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</si>
  <si>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</si>
  <si>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</si>
  <si>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</si>
  <si>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</si>
  <si>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</si>
  <si>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</si>
  <si>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</si>
  <si>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</si>
  <si>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</si>
  <si>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</si>
  <si>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</si>
  <si>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</si>
  <si>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</si>
  <si>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</si>
  <si>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</si>
  <si>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</si>
  <si>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</si>
  <si>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</si>
  <si>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</si>
  <si>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</si>
  <si>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</si>
  <si>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</si>
  <si>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</si>
  <si>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</si>
  <si>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</si>
  <si>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</si>
  <si>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</si>
  <si>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</si>
  <si>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</si>
  <si>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</si>
  <si>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11.7% of revenue against depreciation of 6.9%.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</si>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</sst>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-0.05051267911068136</v>
      </c>
    </row>
    <row r="7" spans="1:2" x14ac:dyDescent="0.25">
      <c r="A7" t="s">
        <v>5</v>
      </c>
      <c r="B7" s="6">
        <v>0.26297870959420894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0.06897848974092251</v>
      </c>
    </row>
    <row r="10" spans="1:2" x14ac:dyDescent="0.25">
      <c r="A10" t="s">
        <v>8</v>
      </c>
      <c r="B10" s="6">
        <v>0.11660771166997311</v>
      </c>
    </row>
    <row r="11" spans="1:2" x14ac:dyDescent="0.25">
      <c r="A11" t="s">
        <v>9</v>
      </c>
      <c r="B11" s="6">
        <v>-0.23520235336067036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9.47325108710918</v>
      </c>
    </row>
    <row r="14" spans="1:3" x14ac:dyDescent="0.25">
      <c r="A14" t="s">
        <v>12</v>
      </c>
      <c r="B14" s="6">
        <v>0.163080480946032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0.57321</v>
      </c>
      <c r="C19" s="8" t="s">
        <v>19</v>
      </c>
    </row>
    <row r="20" spans="1:2" x14ac:dyDescent="0.25">
      <c r="A20" t="s">
        <v>20</v>
      </c>
      <c r="B20" s="10">
        <f>B17+B19*B18</f>
        <v>0.07212470000000001</v>
      </c>
    </row>
    <row r="21" spans="1:3" x14ac:dyDescent="0.25">
      <c r="A21" t="s">
        <v>21</v>
      </c>
      <c r="B21" s="6">
        <v>0.05012715693898569</v>
      </c>
      <c r="C21" s="8" t="s">
        <v>22</v>
      </c>
    </row>
    <row r="22" spans="1:2" x14ac:dyDescent="0.25">
      <c r="A22" t="s">
        <v>23</v>
      </c>
      <c r="B22" s="11">
        <v>964312236032</v>
      </c>
    </row>
    <row r="23" spans="1:2" x14ac:dyDescent="0.25">
      <c r="A23" t="s">
        <v>24</v>
      </c>
      <c r="B23" s="11">
        <v>39012000000</v>
      </c>
    </row>
    <row r="24" spans="1:2" x14ac:dyDescent="0.25">
      <c r="A24" t="s">
        <v>25</v>
      </c>
      <c r="B24" s="10">
        <f>B22/(B22+B23)</f>
        <v>0.961117255420554</v>
      </c>
    </row>
    <row r="25" spans="1:2" x14ac:dyDescent="0.25">
      <c r="A25" t="s">
        <v>26</v>
      </c>
      <c r="B25" s="10">
        <f>1-B24</f>
        <v>0.03888274457944596</v>
      </c>
    </row>
    <row r="26" spans="1:2" x14ac:dyDescent="0.25">
      <c r="A26" t="s">
        <v>27</v>
      </c>
      <c r="B26" s="12">
        <f>B24*B20+B25*B21*(1-B8)</f>
        <v>0.07094777671422409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294916000000</v>
      </c>
      <c r="C29" s="8" t="s">
        <v>30</v>
      </c>
    </row>
    <row r="30" spans="1:2" x14ac:dyDescent="0.25">
      <c r="A30" t="s">
        <v>31</v>
      </c>
      <c r="B30" s="11">
        <v>-57760000000</v>
      </c>
    </row>
    <row r="31" spans="1:2" x14ac:dyDescent="0.25">
      <c r="A31" t="s">
        <v>32</v>
      </c>
      <c r="B31" s="13">
        <v>19868045113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-0.05051267911068136</v>
      </c>
      <c r="C5" s="10">
        <f>Assumptions!B6</f>
        <v>-0.05051267911068136</v>
      </c>
      <c r="D5" s="10">
        <f>Assumptions!B6</f>
        <v>-0.05051267911068136</v>
      </c>
      <c r="E5" s="10">
        <f>Assumptions!B6</f>
        <v>-0.05051267911068136</v>
      </c>
      <c r="F5" s="10">
        <f>Assumptions!B6</f>
        <v>-0.05051267911068136</v>
      </c>
    </row>
    <row r="6" spans="1:6" x14ac:dyDescent="0.25">
      <c r="A6" t="s">
        <v>43</v>
      </c>
      <c r="B6" s="18">
        <f>Assumptions!B29*(1+B5)</f>
        <v>280019002727.3943</v>
      </c>
      <c r="C6" s="18">
        <f>B6*(1+C5)</f>
        <v>265874492697.73242</v>
      </c>
      <c r="D6" s="18">
        <f>C6*(1+D5)</f>
        <v>252444459764.37668</v>
      </c>
      <c r="E6" s="18">
        <f>D6*(1+E5)</f>
        <v>239692813775.02942</v>
      </c>
      <c r="F6" s="18">
        <f>E6*(1+F5)</f>
        <v>227585287587.67505</v>
      </c>
    </row>
    <row r="7" spans="1:6" x14ac:dyDescent="0.25">
      <c r="A7" t="s">
        <v>5</v>
      </c>
      <c r="B7" s="10">
        <f>Assumptions!B7</f>
        <v>0.26297870959420894</v>
      </c>
      <c r="C7" s="10">
        <f>Assumptions!B7</f>
        <v>0.26297870959420894</v>
      </c>
      <c r="D7" s="10">
        <f>Assumptions!B7</f>
        <v>0.26297870959420894</v>
      </c>
      <c r="E7" s="10">
        <f>Assumptions!B7</f>
        <v>0.26297870959420894</v>
      </c>
      <c r="F7" s="10">
        <f>Assumptions!B7</f>
        <v>0.26297870959420894</v>
      </c>
    </row>
    <row r="8" spans="1:6" x14ac:dyDescent="0.25">
      <c r="A8" t="s">
        <v>44</v>
      </c>
      <c r="B8" s="18">
        <f>B6*B7</f>
        <v>73639035999.10742</v>
      </c>
      <c r="C8" s="18">
        <f>C6*C7</f>
        <v>69919331003.6646</v>
      </c>
      <c r="D8" s="18">
        <f>D6*D7</f>
        <v>66387518273.04298</v>
      </c>
      <c r="E8" s="18">
        <f>E6*E7</f>
        <v>63034106865.56226</v>
      </c>
      <c r="F8" s="18">
        <f>F6*F7</f>
        <v>59850085252.43372</v>
      </c>
    </row>
    <row r="9" spans="1:6" x14ac:dyDescent="0.25">
      <c r="A9" t="s">
        <v>45</v>
      </c>
      <c r="B9" s="18">
        <f>B8*(1-Assumptions!B8)</f>
        <v>61488595059.25469</v>
      </c>
      <c r="C9" s="18">
        <f>C8*(1-Assumptions!B8)</f>
        <v>58382641388.05994</v>
      </c>
      <c r="D9" s="18">
        <f>D8*(1-Assumptions!B8)</f>
        <v>55433577757.99088</v>
      </c>
      <c r="E9" s="18">
        <f>E8*(1-Assumptions!B8)</f>
        <v>52633479232.74449</v>
      </c>
      <c r="F9" s="18">
        <f>F8*(1-Assumptions!B8)</f>
        <v>49974821185.78216</v>
      </c>
    </row>
    <row r="10" spans="1:6" x14ac:dyDescent="0.25">
      <c r="A10" t="s">
        <v>46</v>
      </c>
      <c r="B10" s="18">
        <f>B6*Assumptions!B9</f>
        <v>19315287906.89492</v>
      </c>
      <c r="C10" s="18">
        <f>C6*Assumptions!B9</f>
        <v>18339620966.92351</v>
      </c>
      <c r="D10" s="18">
        <f>D6*Assumptions!B9</f>
        <v>17413237578.00978</v>
      </c>
      <c r="E10" s="18">
        <f>E6*Assumptions!B9</f>
        <v>16533648295.953716</v>
      </c>
      <c r="F10" s="18">
        <f>F6*Assumptions!B9</f>
        <v>15698489425.051342</v>
      </c>
    </row>
    <row r="11" spans="1:6" x14ac:dyDescent="0.25">
      <c r="A11" t="s">
        <v>47</v>
      </c>
      <c r="B11" s="18">
        <f>-B6*Assumptions!B10</f>
        <v>-32652375132.149406</v>
      </c>
      <c r="C11" s="18">
        <f>-C6*Assumptions!B10</f>
        <v>-31003016184.897552</v>
      </c>
      <c r="D11" s="18">
        <f>-D6*Assumptions!B10</f>
        <v>-29436970776.886562</v>
      </c>
      <c r="E11" s="18">
        <f>-E6*Assumptions!B10</f>
        <v>-27950030518.04319</v>
      </c>
      <c r="F11" s="18">
        <f>-F6*Assumptions!B10</f>
        <v>-26538199595.35152</v>
      </c>
    </row>
    <row r="12" spans="1:6" x14ac:dyDescent="0.25">
      <c r="A12" t="s">
        <v>48</v>
      </c>
      <c r="B12" s="18">
        <f>-(B6-Assumptions!B29)*Assumptions!B11</f>
        <v>-3503808816.5243516</v>
      </c>
      <c r="C12" s="18">
        <f>-(C6-B6)*Assumptions!B11</f>
        <v>-3326822046.110076</v>
      </c>
      <c r="D12" s="18">
        <f>-(D6-C6)*Assumptions!B11</f>
        <v>-3158775351.6365776</v>
      </c>
      <c r="E12" s="18">
        <f>-(E6-D6)*Assumptions!B11</f>
        <v>-2999217145.9166293</v>
      </c>
      <c r="F12" s="18">
        <f>-(F6-E6)*Assumptions!B11</f>
        <v>-2847718652.6416926</v>
      </c>
    </row>
    <row r="13" spans="1:6" x14ac:dyDescent="0.25">
      <c r="A13" s="19" t="s">
        <v>49</v>
      </c>
      <c r="B13" s="20">
        <f>B9+B10+B11+B12</f>
        <v>44647699017.47585</v>
      </c>
      <c r="C13" s="20">
        <f>C9+C10+C11+C12</f>
        <v>42392424123.975815</v>
      </c>
      <c r="D13" s="20">
        <f>D9+D10+D11+D12</f>
        <v>40251069207.47752</v>
      </c>
      <c r="E13" s="20">
        <f>E9+E10+E11+E12</f>
        <v>38217879864.738396</v>
      </c>
      <c r="F13" s="20">
        <f>F9+F10+F11+F12</f>
        <v>36287392362.84029</v>
      </c>
    </row>
    <row r="14" spans="1:6" x14ac:dyDescent="0.25">
      <c r="A14" t="s">
        <v>50</v>
      </c>
      <c r="B14" s="21">
        <f>1/(1+Assumptions!$B$26)^(1-0.5*Assumptions!$B$32)</f>
        <v>0.9663086189101673</v>
      </c>
      <c r="C14" s="21">
        <f>1/(1+Assumptions!$B$26)^(2-0.5*Assumptions!$B$32)</f>
        <v>0.9022929408144434</v>
      </c>
      <c r="D14" s="21">
        <f>1/(1+Assumptions!$B$26)^(3-0.5*Assumptions!$B$32)</f>
        <v>0.8425181511490405</v>
      </c>
      <c r="E14" s="21">
        <f>1/(1+Assumptions!$B$26)^(4-0.5*Assumptions!$B$32)</f>
        <v>0.78670330100873</v>
      </c>
      <c r="F14" s="21">
        <f>1/(1+Assumptions!$B$26)^(5-0.5*Assumptions!$B$32)</f>
        <v>0.734586053693874</v>
      </c>
    </row>
    <row r="15" spans="1:6" x14ac:dyDescent="0.25">
      <c r="A15" s="19" t="s">
        <v>51</v>
      </c>
      <c r="B15" s="20">
        <f>B13*B14</f>
        <v>43143456375.093925</v>
      </c>
      <c r="C15" s="20">
        <f>C13*C14</f>
        <v>38250385031.075294</v>
      </c>
      <c r="D15" s="20">
        <f>D13*D14</f>
        <v>33912256410.45604</v>
      </c>
      <c r="E15" s="20">
        <f>E13*E14</f>
        <v>30066132247.14477</v>
      </c>
      <c r="F15" s="20">
        <f>F13*F14</f>
        <v>26656212354.66007</v>
      </c>
    </row>
    <row r="17" spans="1:2" x14ac:dyDescent="0.25">
      <c r="A17" s="22" t="s">
        <v>52</v>
      </c>
      <c r="B17" s="23">
        <f>SUM(B15:F15)</f>
        <v>172028442418.43008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36287392362.84029</v>
      </c>
    </row>
    <row r="5" spans="1:2" x14ac:dyDescent="0.25">
      <c r="A5" t="s">
        <v>56</v>
      </c>
      <c r="B5" s="18">
        <f>IF(Assumptions!$B$33=0,B4,B4-Forecast!F11-Forecast!F10-Forecast!F12)</f>
        <v>51110230368.66043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0.15329854225947015</v>
      </c>
    </row>
    <row r="7" spans="1:2" x14ac:dyDescent="0.25">
      <c r="A7" t="s">
        <v>58</v>
      </c>
      <c r="B7" s="18">
        <f>-MAX(Forecast!F9,0)*B6</f>
        <v>-7835123810.061346</v>
      </c>
    </row>
    <row r="8" spans="1:2" x14ac:dyDescent="0.25">
      <c r="A8" t="s">
        <v>59</v>
      </c>
      <c r="B8" s="18">
        <f>IF(OR(Assumptions!$B$33=0,Assumptions!B12&lt;=0),B5,MAX(B5+B7,0))</f>
        <v>43275106558.59908</v>
      </c>
    </row>
    <row r="9" spans="1:2" x14ac:dyDescent="0.25">
      <c r="A9" t="s">
        <v>60</v>
      </c>
      <c r="B9" s="18">
        <f>B8*(1+Assumptions!B12)/(Assumptions!B26-Assumptions!B12)</f>
        <v>965378248842.0693</v>
      </c>
    </row>
    <row r="10" spans="1:2" x14ac:dyDescent="0.25">
      <c r="A10" t="s">
        <v>61</v>
      </c>
      <c r="B10" s="18">
        <f>B9/(1+Assumptions!B26)^(5-0.5*Assumptions!B32)</f>
        <v>709153398138.7983</v>
      </c>
    </row>
    <row r="11" spans="1:2" x14ac:dyDescent="0.25">
      <c r="A11" t="s">
        <v>62</v>
      </c>
      <c r="B11" s="18">
        <f>Forecast!B17+B10</f>
        <v>881181840557.2284</v>
      </c>
    </row>
    <row r="12" spans="1:2" x14ac:dyDescent="0.25">
      <c r="A12" t="s">
        <v>63</v>
      </c>
      <c r="B12" s="18">
        <f>-Assumptions!B30</f>
        <v>57760000000</v>
      </c>
    </row>
    <row r="13" spans="1:2" x14ac:dyDescent="0.25">
      <c r="A13" t="s">
        <v>64</v>
      </c>
      <c r="B13" s="18">
        <f>B11+B12</f>
        <v>938941840557.2284</v>
      </c>
    </row>
    <row r="14" spans="1:2" x14ac:dyDescent="0.25">
      <c r="A14" s="19" t="s">
        <v>65</v>
      </c>
      <c r="B14" s="24">
        <f>B13/Assumptions!B31</f>
        <v>47.258894129592186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75548574677.48506</v>
      </c>
    </row>
    <row r="18" spans="1:2" x14ac:dyDescent="0.25">
      <c r="A18" t="s">
        <v>60</v>
      </c>
      <c r="B18" s="18">
        <f>B17*Assumptions!B13</f>
        <v>715690617193.0344</v>
      </c>
    </row>
    <row r="19" spans="1:2" x14ac:dyDescent="0.25">
      <c r="A19" t="s">
        <v>61</v>
      </c>
      <c r="B19" s="18">
        <f>B18/(1+Assumptions!B26)^(5-0.5*Assumptions!B32)</f>
        <v>525736346149.5642</v>
      </c>
    </row>
    <row r="20" spans="1:2" x14ac:dyDescent="0.25">
      <c r="A20" t="s">
        <v>62</v>
      </c>
      <c r="B20" s="18">
        <f>Forecast!B17+B19</f>
        <v>697764788567.9943</v>
      </c>
    </row>
    <row r="21" spans="1:2" x14ac:dyDescent="0.25">
      <c r="A21" t="s">
        <v>63</v>
      </c>
      <c r="B21" s="18">
        <f>-Assumptions!B30</f>
        <v>57760000000</v>
      </c>
    </row>
    <row r="22" spans="1:2" x14ac:dyDescent="0.25">
      <c r="A22" t="s">
        <v>64</v>
      </c>
      <c r="B22" s="18">
        <f>B20+B21</f>
        <v>755524788567.9943</v>
      </c>
    </row>
    <row r="23" spans="1:2" x14ac:dyDescent="0.25">
      <c r="A23" s="19" t="s">
        <v>65</v>
      </c>
      <c r="B23" s="25">
        <f>B22/Assumptions!B31</f>
        <v>38.02713272850591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44.46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55.330713246926535</v>
      </c>
    </row>
    <row r="29" spans="1:2" x14ac:dyDescent="0.25">
      <c r="A29" s="19" t="s">
        <v>73</v>
      </c>
      <c r="B29" s="12">
        <f>B28/B26-1</f>
        <v>0.24450547114094778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0.050948</v>
      </c>
      <c r="B5" s="31">
        <v>64.68395624125156</v>
      </c>
      <c r="C5" s="31">
        <v>71.42754775620327</v>
      </c>
      <c r="D5" s="31">
        <v>80.74572077107295</v>
      </c>
      <c r="E5" s="31">
        <v>94.4820270568541</v>
      </c>
      <c r="F5" s="31">
        <v>116.791971947361</v>
      </c>
    </row>
    <row r="6" spans="1:6" x14ac:dyDescent="0.25">
      <c r="A6" s="30">
        <v>0.060948</v>
      </c>
      <c r="B6" s="31">
        <v>51.290984411818286</v>
      </c>
      <c r="C6" s="31">
        <v>54.832035344336454</v>
      </c>
      <c r="D6" s="31">
        <v>59.34132226065436</v>
      </c>
      <c r="E6" s="31">
        <v>65.2881336368285</v>
      </c>
      <c r="F6" s="31">
        <v>73.50347251347256</v>
      </c>
    </row>
    <row r="7" spans="1:6" x14ac:dyDescent="0.25">
      <c r="A7" s="30">
        <v>0.070948</v>
      </c>
      <c r="B7" s="31">
        <v>42.69523552037488</v>
      </c>
      <c r="C7" s="31">
        <v>44.75871857269603</v>
      </c>
      <c r="D7" s="32">
        <v>47.25868310840192</v>
      </c>
      <c r="E7" s="31">
        <v>50.35502026383061</v>
      </c>
      <c r="F7" s="31">
        <v>54.29657807770031</v>
      </c>
    </row>
    <row r="8" spans="1:6" x14ac:dyDescent="0.25">
      <c r="A8" s="30">
        <v>0.080948</v>
      </c>
      <c r="B8" s="31">
        <v>36.71385270516583</v>
      </c>
      <c r="C8" s="31">
        <v>37.996737297592865</v>
      </c>
      <c r="D8" s="31">
        <v>39.49898985220659</v>
      </c>
      <c r="E8" s="31">
        <v>41.28519621011565</v>
      </c>
      <c r="F8" s="31">
        <v>43.448054792348785</v>
      </c>
    </row>
    <row r="9" spans="1:6" x14ac:dyDescent="0.25">
      <c r="A9" s="30">
        <v>0.090948</v>
      </c>
      <c r="B9" s="31">
        <v>32.31367459757304</v>
      </c>
      <c r="C9" s="31">
        <v>33.14552381124674</v>
      </c>
      <c r="D9" s="31">
        <v>34.095426638862264</v>
      </c>
      <c r="E9" s="31">
        <v>35.19243742525668</v>
      </c>
      <c r="F9" s="31">
        <v>36.4759967113194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294916000000</v>
      </c>
      <c r="C5" s="18">
        <v>339788000000</v>
      </c>
      <c r="D5" s="18">
        <v>343074000000</v>
      </c>
      <c r="E5" s="18">
        <v>344533000000</v>
      </c>
      <c r="F5" s="8" t="s">
        <v>84</v>
      </c>
    </row>
    <row r="6" spans="1:6" x14ac:dyDescent="0.25">
      <c r="A6" t="s">
        <v>44</v>
      </c>
      <c r="B6" s="18">
        <v>72009000000</v>
      </c>
      <c r="C6" s="18">
        <v>83746000000</v>
      </c>
      <c r="D6" s="18">
        <v>91946000000</v>
      </c>
      <c r="E6" s="18">
        <v>101043000000</v>
      </c>
      <c r="F6" s="8" t="s">
        <v>85</v>
      </c>
    </row>
    <row r="7" spans="1:6" x14ac:dyDescent="0.25">
      <c r="A7" t="s">
        <v>86</v>
      </c>
      <c r="B7" s="18">
        <v>23687000000</v>
      </c>
      <c r="C7" s="18">
        <v>23305000000</v>
      </c>
      <c r="D7" s="18">
        <v>22078000000</v>
      </c>
      <c r="E7" s="18">
        <v>21587000000</v>
      </c>
      <c r="F7" s="8" t="s">
        <v>87</v>
      </c>
    </row>
    <row r="8" spans="1:6" x14ac:dyDescent="0.25">
      <c r="A8" t="s">
        <v>88</v>
      </c>
      <c r="B8" s="18">
        <v>48398000000</v>
      </c>
      <c r="C8" s="18">
        <v>37708000000</v>
      </c>
      <c r="D8" s="18">
        <v>37084000000</v>
      </c>
      <c r="E8" s="18">
        <v>28684000000</v>
      </c>
      <c r="F8" s="8" t="s">
        <v>89</v>
      </c>
    </row>
    <row r="9" spans="1:6" x14ac:dyDescent="0.25">
      <c r="A9" t="s">
        <v>90</v>
      </c>
      <c r="B9" s="18">
        <v>10554000000</v>
      </c>
      <c r="C9" s="18">
        <v>251000000</v>
      </c>
      <c r="D9" s="18">
        <v>11690000000</v>
      </c>
      <c r="E9" s="18">
        <v>1012000000</v>
      </c>
      <c r="F9" s="8" t="s">
        <v>91</v>
      </c>
    </row>
    <row r="10" spans="1:6" x14ac:dyDescent="0.25">
      <c r="A10" t="s">
        <v>92</v>
      </c>
      <c r="B10" s="18">
        <v>39012000000</v>
      </c>
      <c r="C10" s="18">
        <v>56146000000</v>
      </c>
      <c r="D10" s="18">
        <v>44046000000</v>
      </c>
      <c r="E10" s="18">
        <v>56937000000</v>
      </c>
      <c r="F10" s="8" t="s">
        <v>93</v>
      </c>
    </row>
    <row r="11" spans="1:6" x14ac:dyDescent="0.25">
      <c r="A11" t="s">
        <v>94</v>
      </c>
      <c r="B11" s="18">
        <v>96772000000</v>
      </c>
      <c r="C11" s="18">
        <v>161147000000</v>
      </c>
      <c r="D11" s="18">
        <v>149986000000</v>
      </c>
      <c r="E11" s="18">
        <v>170503000000</v>
      </c>
      <c r="F11" s="8" t="s">
        <v>95</v>
      </c>
    </row>
    <row r="12" spans="1:6" x14ac:dyDescent="0.25">
      <c r="A12" t="s">
        <v>32</v>
      </c>
      <c r="B12" s="34">
        <v>19868045113</v>
      </c>
      <c r="C12" s="34">
        <v>19866500534</v>
      </c>
      <c r="D12" s="34">
        <v>19871504660</v>
      </c>
      <c r="E12" s="34">
        <v>19871041369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2026-09-19T01:06:43Z</dcterms:modified>
</cp:coreProperties>
</file>