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<sst xmlns="http://schemas.openxmlformats.org/spreadsheetml/2006/main" count="114" uniqueCount="102">
  <si>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CSPC Pharmaceutical Group Limited (1093.HK)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</si>
  <si>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</si>
  <si>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</si>
  <si>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</si>
  <si>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</si>
  <si>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</si>
  <si>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</si>
  <si>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</si>
  <si>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</si>
  <si>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</si>
  <si>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</si>
  <si>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</si>
  <si>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</si>
  <si>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</si>
  <si>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</si>
  <si>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</si>
  <si>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</si>
  <si>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</si>
  <si>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</si>
  <si>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</si>
  <si>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</si>
  <si>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</si>
  <si>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</si>
  <si>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</si>
  <si>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</si>
  <si>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</si>
  <si>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</si>
  <si>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</si>
  <si>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</si>
  <si>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</si>
  <si>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</si>
  <si>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</si>
  <si>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</si>
  <si>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</si>
  <si>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</si>
  <si>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</si>
  <si>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</si>
  <si>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</si>
  <si>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</si>
  <si>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</si>
  <si>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</si>
  <si>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</si>
  <si>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</si>
  <si>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</si>
  <si>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</si>
  <si>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</si>
  <si>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</si>
  <si>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</si>
  <si>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</si>
  <si>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</si>
  <si>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</si>
  <si>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</si>
  <si>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</si>
  <si>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</si>
  <si>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</si>
  <si>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</si>
  <si>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</si>
  <si>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</si>
  <si>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</si>
  <si>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</si>
  <si>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</si>
  <si>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</si>
  <si>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</si>
  <si>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</si>
  <si>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</si>
  <si>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</si>
  <si>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</si>
  <si>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</si>
  <si>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</si>
  <si>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</si>
  <si>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</si>
  <si>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</si>
  <si>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</si>
  <si>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</si>
  <si>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</si>
  <si>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</si>
  <si>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</si>
  <si>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</si>
  <si>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</si>
  <si>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</si>
  <si>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</si>
  <si>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</si>
  <si>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</si>
  <si>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</si>
  <si>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</si>
  <si>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</si>
  <si>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</si>
  <si>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</si>
  <si>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</si>
  <si>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</si>
  <si>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</si>
  <si>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</si>
  <si>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</si>
  <si>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</si>
  <si>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</si>
  <si>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</si>
  <si>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</si>
  <si>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</si>
  <si>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</si>
  <si>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Capital expenditure runs at 8.2% of revenue against depreciation of 4.2%.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</si>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</sst>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-0.05623154279526521</v>
      </c>
    </row>
    <row r="7" spans="1:2" x14ac:dyDescent="0.25">
      <c r="A7" t="s">
        <v>5</v>
      </c>
      <c r="B7" s="6">
        <v>0.19780523610040962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0.042475704889664505</v>
      </c>
    </row>
    <row r="10" spans="1:2" x14ac:dyDescent="0.25">
      <c r="A10" t="s">
        <v>8</v>
      </c>
      <c r="B10" s="6">
        <v>0.08205931730909755</v>
      </c>
    </row>
    <row r="11" spans="1:2" x14ac:dyDescent="0.25">
      <c r="A11" t="s">
        <v>9</v>
      </c>
      <c r="B11" s="6">
        <v>0.3789441123254155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16.736767536936565</v>
      </c>
    </row>
    <row r="14" spans="1:3" x14ac:dyDescent="0.25">
      <c r="A14" t="s">
        <v>12</v>
      </c>
      <c r="B14" s="6">
        <v>0.15708070386010461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0.8392</v>
      </c>
      <c r="C19" s="8" t="s">
        <v>19</v>
      </c>
    </row>
    <row r="20" spans="1:2" x14ac:dyDescent="0.25">
      <c r="A20" t="s">
        <v>20</v>
      </c>
      <c r="B20" s="10">
        <f>B17+B19*B18</f>
        <v>0.090744</v>
      </c>
    </row>
    <row r="21" spans="1:3" x14ac:dyDescent="0.25">
      <c r="A21" t="s">
        <v>21</v>
      </c>
      <c r="B21" s="6">
        <v>0.06721297343611633</v>
      </c>
      <c r="C21" s="8" t="s">
        <v>22</v>
      </c>
    </row>
    <row r="22" spans="1:2" x14ac:dyDescent="0.25">
      <c r="A22" t="s">
        <v>23</v>
      </c>
      <c r="B22" s="11">
        <v>101850685440</v>
      </c>
    </row>
    <row r="23" spans="1:2" x14ac:dyDescent="0.25">
      <c r="A23" t="s">
        <v>24</v>
      </c>
      <c r="B23" s="11">
        <v>641109000</v>
      </c>
    </row>
    <row r="24" spans="1:2" x14ac:dyDescent="0.25">
      <c r="A24" t="s">
        <v>25</v>
      </c>
      <c r="B24" s="10">
        <f>B22/(B22+B23)</f>
        <v>0.9937447772916561</v>
      </c>
    </row>
    <row r="25" spans="1:2" x14ac:dyDescent="0.25">
      <c r="A25" t="s">
        <v>26</v>
      </c>
      <c r="B25" s="10">
        <f>1-B24</f>
        <v>0.006255222708343888</v>
      </c>
    </row>
    <row r="26" spans="1:2" x14ac:dyDescent="0.25">
      <c r="A26" t="s">
        <v>27</v>
      </c>
      <c r="B26" s="12">
        <f>B24*B20+B25*B21*(1-B8)</f>
        <v>0.09052743688886103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26005980000</v>
      </c>
      <c r="C29" s="8" t="s">
        <v>30</v>
      </c>
    </row>
    <row r="30" spans="1:2" x14ac:dyDescent="0.25">
      <c r="A30" t="s">
        <v>31</v>
      </c>
      <c r="B30" s="11">
        <v>-8224371000</v>
      </c>
    </row>
    <row r="31" spans="1:2" x14ac:dyDescent="0.25">
      <c r="A31" t="s">
        <v>32</v>
      </c>
      <c r="B31" s="13">
        <v>11423692000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-0.05623154279526521</v>
      </c>
      <c r="C5" s="10">
        <f>Assumptions!B6</f>
        <v>-0.05623154279526521</v>
      </c>
      <c r="D5" s="10">
        <f>Assumptions!B6</f>
        <v>-0.05623154279526521</v>
      </c>
      <c r="E5" s="10">
        <f>Assumptions!B6</f>
        <v>-0.05623154279526521</v>
      </c>
      <c r="F5" s="10">
        <f>Assumptions!B6</f>
        <v>-0.05623154279526521</v>
      </c>
    </row>
    <row r="6" spans="1:6" x14ac:dyDescent="0.25">
      <c r="A6" t="s">
        <v>43</v>
      </c>
      <c r="B6" s="18">
        <f>Assumptions!B29*(1+B5)</f>
        <v>24543623622.69719</v>
      </c>
      <c r="C6" s="18">
        <f>B6*(1+C5)</f>
        <v>23163497800.60661</v>
      </c>
      <c r="D6" s="18">
        <f>C6*(1+D5)</f>
        <v>21860978582.743767</v>
      </c>
      <c r="E6" s="18">
        <f>D6*(1+E5)</f>
        <v>20631702030.021835</v>
      </c>
      <c r="F6" s="18">
        <f>E6*(1+F5)</f>
        <v>19471549594.381504</v>
      </c>
    </row>
    <row r="7" spans="1:6" x14ac:dyDescent="0.25">
      <c r="A7" t="s">
        <v>5</v>
      </c>
      <c r="B7" s="10">
        <f>Assumptions!B7</f>
        <v>0.19780523610040962</v>
      </c>
      <c r="C7" s="10">
        <f>Assumptions!B7</f>
        <v>0.19780523610040962</v>
      </c>
      <c r="D7" s="10">
        <f>Assumptions!B7</f>
        <v>0.19780523610040962</v>
      </c>
      <c r="E7" s="10">
        <f>Assumptions!B7</f>
        <v>0.19780523610040962</v>
      </c>
      <c r="F7" s="10">
        <f>Assumptions!B7</f>
        <v>0.19780523610040962</v>
      </c>
    </row>
    <row r="8" spans="1:6" x14ac:dyDescent="0.25">
      <c r="A8" t="s">
        <v>44</v>
      </c>
      <c r="B8" s="18">
        <f>B6*B7</f>
        <v>4854857265.447208</v>
      </c>
      <c r="C8" s="18">
        <f>C6*C7</f>
        <v>4581861151.36031</v>
      </c>
      <c r="D8" s="18">
        <f>D6*D7</f>
        <v>4324216029.945629</v>
      </c>
      <c r="E8" s="18">
        <f>E6*E7</f>
        <v>4081058691.20177</v>
      </c>
      <c r="F8" s="18">
        <f>F6*F7</f>
        <v>3851574464.7574687</v>
      </c>
    </row>
    <row r="9" spans="1:6" x14ac:dyDescent="0.25">
      <c r="A9" t="s">
        <v>45</v>
      </c>
      <c r="B9" s="18">
        <f>B8*(1-Assumptions!B8)</f>
        <v>4053805816.648419</v>
      </c>
      <c r="C9" s="18">
        <f>C8*(1-Assumptions!B8)</f>
        <v>3825854061.3858585</v>
      </c>
      <c r="D9" s="18">
        <f>D8*(1-Assumptions!B8)</f>
        <v>3610720385.0046</v>
      </c>
      <c r="E9" s="18">
        <f>E8*(1-Assumptions!B8)</f>
        <v>3407684007.1534777</v>
      </c>
      <c r="F9" s="18">
        <f>F8*(1-Assumptions!B8)</f>
        <v>3216064678.0724864</v>
      </c>
    </row>
    <row r="10" spans="1:6" x14ac:dyDescent="0.25">
      <c r="A10" t="s">
        <v>46</v>
      </c>
      <c r="B10" s="18">
        <f>B6*Assumptions!B9</f>
        <v>1042507713.9206842</v>
      </c>
      <c r="C10" s="18">
        <f>C6*Assumptions!B9</f>
        <v>983885896.7909591</v>
      </c>
      <c r="D10" s="18">
        <f>D6*Assumptions!B9</f>
        <v>928560474.8799005</v>
      </c>
      <c r="E10" s="18">
        <f>E6*Assumptions!B9</f>
        <v>876346086.7986996</v>
      </c>
      <c r="F10" s="18">
        <f>F6*Assumptions!B9</f>
        <v>827067794.3154154</v>
      </c>
    </row>
    <row r="11" spans="1:6" x14ac:dyDescent="0.25">
      <c r="A11" t="s">
        <v>47</v>
      </c>
      <c r="B11" s="18">
        <f>-B6*Assumptions!B10</f>
        <v>-2014032998.769971</v>
      </c>
      <c r="C11" s="18">
        <f>-C6*Assumptions!B10</f>
        <v>-1900780816.008561</v>
      </c>
      <c r="D11" s="18">
        <f>-D6*Assumptions!B10</f>
        <v>-1793896978.2087562</v>
      </c>
      <c r="E11" s="18">
        <f>-E6*Assumptions!B10</f>
        <v>-1693023383.5083137</v>
      </c>
      <c r="F11" s="18">
        <f>-F6*Assumptions!B10</f>
        <v>-1597822066.6651814</v>
      </c>
    </row>
    <row r="12" spans="1:6" x14ac:dyDescent="0.25">
      <c r="A12" t="s">
        <v>48</v>
      </c>
      <c r="B12" s="18">
        <f>-(B6-Assumptions!B29)*Assumptions!B11</f>
        <v>554151339.300424</v>
      </c>
      <c r="C12" s="18">
        <f>-(C6-B6)*Assumptions!B11</f>
        <v>522990554.5494992</v>
      </c>
      <c r="D12" s="18">
        <f>-(D6-C6)*Assumptions!B11</f>
        <v>493581988.79982936</v>
      </c>
      <c r="E12" s="18">
        <f>-(E6-D6)*Assumptions!B11</f>
        <v>465827112.0736592</v>
      </c>
      <c r="F12" s="18">
        <f>-(F6-E6)*Assumptions!B11</f>
        <v>439632934.8858941</v>
      </c>
    </row>
    <row r="13" spans="1:6" x14ac:dyDescent="0.25">
      <c r="A13" s="19" t="s">
        <v>49</v>
      </c>
      <c r="B13" s="20">
        <f>B9+B10+B11+B12</f>
        <v>3636431871.0995564</v>
      </c>
      <c r="C13" s="20">
        <f>C9+C10+C11+C12</f>
        <v>3431949696.717756</v>
      </c>
      <c r="D13" s="20">
        <f>D9+D10+D11+D12</f>
        <v>3238965870.4755735</v>
      </c>
      <c r="E13" s="20">
        <f>E9+E10+E11+E12</f>
        <v>3056833822.517523</v>
      </c>
      <c r="F13" s="20">
        <f>F9+F10+F11+F12</f>
        <v>2884943340.6086144</v>
      </c>
    </row>
    <row r="14" spans="1:6" x14ac:dyDescent="0.25">
      <c r="A14" t="s">
        <v>50</v>
      </c>
      <c r="B14" s="21">
        <f>1/(1+Assumptions!$B$26)^(1-0.5*Assumptions!$B$32)</f>
        <v>0.9575946294194945</v>
      </c>
      <c r="C14" s="21">
        <f>1/(1+Assumptions!$B$26)^(2-0.5*Assumptions!$B$32)</f>
        <v>0.8781022806279799</v>
      </c>
      <c r="D14" s="21">
        <f>1/(1+Assumptions!$B$26)^(3-0.5*Assumptions!$B$32)</f>
        <v>0.8052087924840262</v>
      </c>
      <c r="E14" s="21">
        <f>1/(1+Assumptions!$B$26)^(4-0.5*Assumptions!$B$32)</f>
        <v>0.738366376898491</v>
      </c>
      <c r="F14" s="21">
        <f>1/(1+Assumptions!$B$26)^(5-0.5*Assumptions!$B$32)</f>
        <v>0.6770727190550642</v>
      </c>
    </row>
    <row r="15" spans="1:6" x14ac:dyDescent="0.25">
      <c r="A15" s="19" t="s">
        <v>51</v>
      </c>
      <c r="B15" s="20">
        <f>B13*B14</f>
        <v>3482227630.0148187</v>
      </c>
      <c r="C15" s="20">
        <f>C13*C14</f>
        <v>3013602855.6883655</v>
      </c>
      <c r="D15" s="20">
        <f>D13*D14</f>
        <v>2608043797.4626093</v>
      </c>
      <c r="E15" s="20">
        <f>E13*E14</f>
        <v>2257063314.3130283</v>
      </c>
      <c r="F15" s="20">
        <f>F13*F14</f>
        <v>1953316431.9456747</v>
      </c>
    </row>
    <row r="17" spans="1:2" x14ac:dyDescent="0.25">
      <c r="A17" s="22" t="s">
        <v>52</v>
      </c>
      <c r="B17" s="23">
        <f>SUM(B15:F15)</f>
        <v>13314254029.424498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2884943340.6086144</v>
      </c>
    </row>
    <row r="5" spans="1:2" x14ac:dyDescent="0.25">
      <c r="A5" t="s">
        <v>56</v>
      </c>
      <c r="B5" s="18">
        <f>IF(Assumptions!$B$33=0,B4,B4-Forecast!F11-Forecast!F10-Forecast!F12)</f>
        <v>3283719305.706314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0.15915385776641855</v>
      </c>
    </row>
    <row r="7" spans="1:2" x14ac:dyDescent="0.25">
      <c r="A7" t="s">
        <v>58</v>
      </c>
      <c r="B7" s="18">
        <f>-MAX(Forecast!F9,0)*B6</f>
        <v>-522616595.3252254</v>
      </c>
    </row>
    <row r="8" spans="1:2" x14ac:dyDescent="0.25">
      <c r="A8" t="s">
        <v>59</v>
      </c>
      <c r="B8" s="18">
        <f>IF(OR(Assumptions!$B$33=0,Assumptions!B12&lt;=0),B5,MAX(B5+B7,0))</f>
        <v>2761102710.3810887</v>
      </c>
    </row>
    <row r="9" spans="1:2" x14ac:dyDescent="0.25">
      <c r="A9" t="s">
        <v>60</v>
      </c>
      <c r="B9" s="18">
        <f>B8*(1+Assumptions!B12)/(Assumptions!B26-Assumptions!B12)</f>
        <v>43190004256.39581</v>
      </c>
    </row>
    <row r="10" spans="1:2" x14ac:dyDescent="0.25">
      <c r="A10" t="s">
        <v>61</v>
      </c>
      <c r="B10" s="18">
        <f>B9/(1+Assumptions!B26)^(5-0.5*Assumptions!B32)</f>
        <v>29242773617.87771</v>
      </c>
    </row>
    <row r="11" spans="1:2" x14ac:dyDescent="0.25">
      <c r="A11" t="s">
        <v>62</v>
      </c>
      <c r="B11" s="18">
        <f>Forecast!B17+B10</f>
        <v>42557027647.30221</v>
      </c>
    </row>
    <row r="12" spans="1:2" x14ac:dyDescent="0.25">
      <c r="A12" t="s">
        <v>63</v>
      </c>
      <c r="B12" s="18">
        <f>-Assumptions!B30</f>
        <v>8224371000</v>
      </c>
    </row>
    <row r="13" spans="1:2" x14ac:dyDescent="0.25">
      <c r="A13" t="s">
        <v>64</v>
      </c>
      <c r="B13" s="18">
        <f>B11+B12</f>
        <v>50781398647.30221</v>
      </c>
    </row>
    <row r="14" spans="1:2" x14ac:dyDescent="0.25">
      <c r="A14" s="19" t="s">
        <v>65</v>
      </c>
      <c r="B14" s="24">
        <f>B13/Assumptions!B31</f>
        <v>4.4452702897891685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4678642259.072884</v>
      </c>
    </row>
    <row r="18" spans="1:2" x14ac:dyDescent="0.25">
      <c r="A18" t="s">
        <v>60</v>
      </c>
      <c r="B18" s="18">
        <f>B17*Assumptions!B13</f>
        <v>78305347878.59059</v>
      </c>
    </row>
    <row r="19" spans="1:2" x14ac:dyDescent="0.25">
      <c r="A19" t="s">
        <v>61</v>
      </c>
      <c r="B19" s="18">
        <f>B18/(1+Assumptions!B26)^(5-0.5*Assumptions!B32)</f>
        <v>53018414804.71003</v>
      </c>
    </row>
    <row r="20" spans="1:2" x14ac:dyDescent="0.25">
      <c r="A20" t="s">
        <v>62</v>
      </c>
      <c r="B20" s="18">
        <f>Forecast!B17+B19</f>
        <v>66332668834.13453</v>
      </c>
    </row>
    <row r="21" spans="1:2" x14ac:dyDescent="0.25">
      <c r="A21" t="s">
        <v>63</v>
      </c>
      <c r="B21" s="18">
        <f>-Assumptions!B30</f>
        <v>8224370999.999992</v>
      </c>
    </row>
    <row r="22" spans="1:2" x14ac:dyDescent="0.25">
      <c r="A22" t="s">
        <v>64</v>
      </c>
      <c r="B22" s="18">
        <f>B20+B21</f>
        <v>74557039834.13452</v>
      </c>
    </row>
    <row r="23" spans="1:2" x14ac:dyDescent="0.25">
      <c r="A23" s="19" t="s">
        <v>65</v>
      </c>
      <c r="B23" s="25">
        <f>B22/Assumptions!B31</f>
        <v>6.526527486397088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8.93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5.204522455285159</v>
      </c>
    </row>
    <row r="29" spans="1:2" x14ac:dyDescent="0.25">
      <c r="A29" s="19" t="s">
        <v>73</v>
      </c>
      <c r="B29" s="12">
        <f>B28/B26-1</f>
        <v>-0.41718673513044136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0.070527</v>
      </c>
      <c r="B5" s="31">
        <v>5.431978366582055</v>
      </c>
      <c r="C5" s="31">
        <v>5.6610798418274015</v>
      </c>
      <c r="D5" s="31">
        <v>5.939024495657867</v>
      </c>
      <c r="E5" s="31">
        <v>6.283890342206666</v>
      </c>
      <c r="F5" s="31">
        <v>6.723932452005362</v>
      </c>
    </row>
    <row r="6" spans="1:6" x14ac:dyDescent="0.25">
      <c r="A6" s="30">
        <v>0.080527</v>
      </c>
      <c r="B6" s="31">
        <v>4.751761149317536</v>
      </c>
      <c r="C6" s="31">
        <v>4.892890843081008</v>
      </c>
      <c r="D6" s="31">
        <v>5.0582740462365186</v>
      </c>
      <c r="E6" s="31">
        <v>5.25511092188262</v>
      </c>
      <c r="F6" s="31">
        <v>5.493764663011578</v>
      </c>
    </row>
    <row r="7" spans="1:6" x14ac:dyDescent="0.25">
      <c r="A7" s="30">
        <v>0.090527</v>
      </c>
      <c r="B7" s="31">
        <v>4.251201286748942</v>
      </c>
      <c r="C7" s="31">
        <v>4.341806290962663</v>
      </c>
      <c r="D7" s="32">
        <v>4.445293005448397</v>
      </c>
      <c r="E7" s="31">
        <v>4.564853817968306</v>
      </c>
      <c r="F7" s="31">
        <v>4.704830966902141</v>
      </c>
    </row>
    <row r="8" spans="1:6" x14ac:dyDescent="0.25">
      <c r="A8" s="30">
        <v>0.100527</v>
      </c>
      <c r="B8" s="31">
        <v>3.867294344293699</v>
      </c>
      <c r="C8" s="31">
        <v>3.926970510185637</v>
      </c>
      <c r="D8" s="31">
        <v>3.993760748963072</v>
      </c>
      <c r="E8" s="31">
        <v>4.0691781136877045</v>
      </c>
      <c r="F8" s="31">
        <v>4.155197467991438</v>
      </c>
    </row>
    <row r="9" spans="1:6" x14ac:dyDescent="0.25">
      <c r="A9" s="30">
        <v>0.110527</v>
      </c>
      <c r="B9" s="31">
        <v>3.5634172151671217</v>
      </c>
      <c r="C9" s="31">
        <v>3.603253284924664</v>
      </c>
      <c r="D9" s="31">
        <v>3.6470796176104425</v>
      </c>
      <c r="E9" s="31">
        <v>3.695639491179968</v>
      </c>
      <c r="F9" s="31">
        <v>3.7498730080238603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26005980000</v>
      </c>
      <c r="C5" s="18">
        <v>29009254000</v>
      </c>
      <c r="D5" s="18">
        <v>31450109000</v>
      </c>
      <c r="E5" s="18">
        <v>30936904000</v>
      </c>
      <c r="F5" s="8" t="s">
        <v>84</v>
      </c>
    </row>
    <row r="6" spans="1:6" x14ac:dyDescent="0.25">
      <c r="A6" t="s">
        <v>44</v>
      </c>
      <c r="B6" s="18">
        <v>4181300000</v>
      </c>
      <c r="C6" s="18">
        <v>5478614000</v>
      </c>
      <c r="D6" s="18">
        <v>7016011000</v>
      </c>
      <c r="E6" s="18">
        <v>6759633000</v>
      </c>
      <c r="F6" s="8" t="s">
        <v>85</v>
      </c>
    </row>
    <row r="7" spans="1:6" x14ac:dyDescent="0.25">
      <c r="A7" t="s">
        <v>86</v>
      </c>
      <c r="B7" s="18">
        <v>1412750000</v>
      </c>
      <c r="C7" s="18">
        <v>1339450000</v>
      </c>
      <c r="D7" s="18">
        <v>1117490000</v>
      </c>
      <c r="E7" s="18">
        <v>1047939000</v>
      </c>
      <c r="F7" s="8" t="s">
        <v>87</v>
      </c>
    </row>
    <row r="8" spans="1:6" x14ac:dyDescent="0.25">
      <c r="A8" t="s">
        <v>88</v>
      </c>
      <c r="B8" s="18">
        <v>2280493000</v>
      </c>
      <c r="C8" s="18">
        <v>2678876000</v>
      </c>
      <c r="D8" s="18">
        <v>1893067000</v>
      </c>
      <c r="E8" s="18">
        <v>2722692000</v>
      </c>
      <c r="F8" s="8" t="s">
        <v>89</v>
      </c>
    </row>
    <row r="9" spans="1:6" x14ac:dyDescent="0.25">
      <c r="A9" t="s">
        <v>90</v>
      </c>
      <c r="B9" s="18">
        <v>-1138073000</v>
      </c>
      <c r="C9" s="18">
        <v>817263000</v>
      </c>
      <c r="D9" s="18">
        <v>3031830000</v>
      </c>
      <c r="E9" s="18">
        <v>-798120000</v>
      </c>
      <c r="F9" s="8" t="s">
        <v>91</v>
      </c>
    </row>
    <row r="10" spans="1:6" x14ac:dyDescent="0.25">
      <c r="A10" t="s">
        <v>92</v>
      </c>
      <c r="B10" s="18">
        <v>641109000</v>
      </c>
      <c r="C10" s="18">
        <v>507330000</v>
      </c>
      <c r="D10" s="18">
        <v>706901000</v>
      </c>
      <c r="E10" s="18">
        <v>582544000</v>
      </c>
      <c r="F10" s="8" t="s">
        <v>93</v>
      </c>
    </row>
    <row r="11" spans="1:6" x14ac:dyDescent="0.25">
      <c r="A11" t="s">
        <v>94</v>
      </c>
      <c r="B11" s="18">
        <v>8865480000</v>
      </c>
      <c r="C11" s="18">
        <v>8250311000</v>
      </c>
      <c r="D11" s="18">
        <v>13092277000</v>
      </c>
      <c r="E11" s="18">
        <v>13872866000</v>
      </c>
      <c r="F11" s="8" t="s">
        <v>95</v>
      </c>
    </row>
    <row r="12" spans="1:6" x14ac:dyDescent="0.25">
      <c r="A12" t="s">
        <v>32</v>
      </c>
      <c r="B12" s="34">
        <v>11423692000</v>
      </c>
      <c r="C12" s="34">
        <v>11738043000</v>
      </c>
      <c r="D12" s="34">
        <v>11873031000</v>
      </c>
      <c r="E12" s="34">
        <v>11918523000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