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<sst xmlns="http://schemas.openxmlformats.org/spreadsheetml/2006/main" count="118" uniqueCount="105">
  <si>
    <t>Sinopharm Group Co. Ltd. (1099.HK)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</si>
  <si>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</si>
  <si>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</si>
  <si>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</si>
  <si>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</si>
  <si>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</si>
  <si>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</si>
  <si>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</si>
  <si>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</si>
  <si>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</si>
  <si>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</si>
  <si>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</si>
  <si>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</si>
  <si>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</si>
  <si>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</si>
  <si>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</si>
  <si>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</si>
  <si>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</si>
  <si>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</si>
  <si>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</si>
  <si>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</si>
  <si>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</si>
  <si>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</si>
  <si>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</si>
  <si>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</si>
  <si>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</si>
  <si>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</si>
  <si>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</si>
  <si>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</si>
  <si>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</si>
  <si>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</si>
  <si>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</si>
  <si>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</si>
  <si>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</si>
  <si>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</si>
  <si>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</si>
  <si>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</si>
  <si>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</si>
  <si>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</si>
  <si>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</si>
  <si>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</si>
  <si>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</si>
  <si>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</si>
  <si>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</si>
  <si>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</si>
  <si>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</si>
  <si>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</si>
  <si>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</si>
  <si>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</si>
  <si>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</si>
  <si>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</si>
  <si>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</si>
  <si>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</si>
  <si>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</si>
  <si>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</si>
  <si>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</si>
  <si>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</si>
  <si>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</si>
  <si>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</si>
  <si>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</si>
  <si>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</si>
  <si>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</si>
  <si>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</si>
  <si>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</si>
  <si>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</si>
  <si>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</si>
  <si>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</si>
  <si>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</si>
  <si>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</si>
  <si>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</si>
  <si>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</si>
  <si>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</si>
  <si>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</si>
  <si>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</si>
  <si>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</si>
  <si>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</si>
  <si>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</si>
  <si>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</si>
  <si>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</si>
  <si>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</si>
  <si>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</si>
  <si>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</si>
  <si>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</si>
  <si>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</si>
  <si>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</si>
  <si>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</si>
  <si>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</si>
  <si>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</si>
  <si>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</si>
  <si>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</si>
  <si>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</si>
  <si>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</si>
  <si>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</si>
  <si>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</si>
  <si>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</si>
  <si>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</si>
  <si>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</si>
  <si>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</si>
  <si>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</si>
  <si>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15.5x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</si>
  <si>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CNY, trades in HKD. Modelled in CNY, converted at the end.</t>
  </si>
  <si>
    <t>Adjusted: Reported capital expenditure averages just 0.36%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</si>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</sst>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0.013708662672339056</v>
      </c>
    </row>
    <row r="7" spans="1:2" x14ac:dyDescent="0.25">
      <c r="A7" t="s">
        <v>5</v>
      </c>
      <c r="B7" s="6">
        <v>0.03456554025409763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0.0076312888378071144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-0.29460325332201004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3.230786918395977</v>
      </c>
    </row>
    <row r="14" spans="1:3" x14ac:dyDescent="0.25">
      <c r="A14" t="s">
        <v>12</v>
      </c>
      <c r="B14" s="6">
        <v>0.11435157056307982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0.62279</v>
      </c>
      <c r="C19" s="8" t="s">
        <v>19</v>
      </c>
    </row>
    <row r="20" spans="1:2" x14ac:dyDescent="0.25">
      <c r="A20" t="s">
        <v>20</v>
      </c>
      <c r="B20" s="10">
        <f>B17+B19*B18</f>
        <v>0.0755953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46872252416</v>
      </c>
    </row>
    <row r="23" spans="1:2" x14ac:dyDescent="0.25">
      <c r="A23" t="s">
        <v>24</v>
      </c>
      <c r="B23" s="11">
        <v>70960423000</v>
      </c>
    </row>
    <row r="24" spans="1:2" x14ac:dyDescent="0.25">
      <c r="A24" t="s">
        <v>25</v>
      </c>
      <c r="B24" s="10">
        <f>B22/(B22+B23)</f>
        <v>0.39778654138608666</v>
      </c>
    </row>
    <row r="25" spans="1:2" x14ac:dyDescent="0.25">
      <c r="A25" t="s">
        <v>26</v>
      </c>
      <c r="B25" s="10">
        <f>1-B24</f>
        <v>0.6022134586139134</v>
      </c>
    </row>
    <row r="26" spans="1:2" x14ac:dyDescent="0.25">
      <c r="A26" t="s">
        <v>27</v>
      </c>
      <c r="B26" s="12">
        <f>B24*B20+B25*B21*(1-B8)</f>
        <v>0.046161936546207406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575167877000</v>
      </c>
      <c r="C29" s="8" t="s">
        <v>30</v>
      </c>
    </row>
    <row r="30" spans="1:2" x14ac:dyDescent="0.25">
      <c r="A30" t="s">
        <v>31</v>
      </c>
      <c r="B30" s="11">
        <v>22164162000</v>
      </c>
    </row>
    <row r="31" spans="1:2" x14ac:dyDescent="0.25">
      <c r="A31" t="s">
        <v>32</v>
      </c>
      <c r="B31" s="13">
        <v>3120656000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0.013708662672339056</v>
      </c>
      <c r="C5" s="10">
        <f>Assumptions!B6</f>
        <v>0.013708662672339056</v>
      </c>
      <c r="D5" s="10">
        <f>Assumptions!B6</f>
        <v>0.013708662672339056</v>
      </c>
      <c r="E5" s="10">
        <f>Assumptions!B6</f>
        <v>0.013708662672339056</v>
      </c>
      <c r="F5" s="10">
        <f>Assumptions!B6</f>
        <v>0.013708662672339056</v>
      </c>
    </row>
    <row r="6" spans="1:6" x14ac:dyDescent="0.25">
      <c r="A6" t="s">
        <v>43</v>
      </c>
      <c r="B6" s="18">
        <f>Assumptions!B29*(1+B5)</f>
        <v>583052659405.7584</v>
      </c>
      <c r="C6" s="18">
        <f>B6*(1+C5)</f>
        <v>591045531633.7622</v>
      </c>
      <c r="D6" s="18">
        <f>C6*(1+D5)</f>
        <v>599147975450.9227</v>
      </c>
      <c r="E6" s="18">
        <f>D6*(1+E5)</f>
        <v>607361492937.1943</v>
      </c>
      <c r="F6" s="18">
        <f>E6*(1+F5)</f>
        <v>615687606764.0386</v>
      </c>
    </row>
    <row r="7" spans="1:6" x14ac:dyDescent="0.25">
      <c r="A7" t="s">
        <v>5</v>
      </c>
      <c r="B7" s="10">
        <f>Assumptions!B7</f>
        <v>0.03456554025409763</v>
      </c>
      <c r="C7" s="10">
        <f>Assumptions!B7</f>
        <v>0.03456554025409763</v>
      </c>
      <c r="D7" s="10">
        <f>Assumptions!B7</f>
        <v>0.03456554025409763</v>
      </c>
      <c r="E7" s="10">
        <f>Assumptions!B7</f>
        <v>0.03456554025409763</v>
      </c>
      <c r="F7" s="10">
        <f>Assumptions!B7</f>
        <v>0.03456554025409763</v>
      </c>
    </row>
    <row r="8" spans="1:6" x14ac:dyDescent="0.25">
      <c r="A8" t="s">
        <v>44</v>
      </c>
      <c r="B8" s="18">
        <f>B6*B7</f>
        <v>20153530168.948418</v>
      </c>
      <c r="C8" s="18">
        <f>C6*C7</f>
        <v>20429808115.69134</v>
      </c>
      <c r="D8" s="18">
        <f>D6*D7</f>
        <v>20709873463.60997</v>
      </c>
      <c r="E8" s="18">
        <f>E6*E7</f>
        <v>20993778132.909424</v>
      </c>
      <c r="F8" s="18">
        <f>F6*F7</f>
        <v>21281574755.551407</v>
      </c>
    </row>
    <row r="9" spans="1:6" x14ac:dyDescent="0.25">
      <c r="A9" t="s">
        <v>45</v>
      </c>
      <c r="B9" s="18">
        <f>B8*(1-Assumptions!B8)</f>
        <v>16828197691.071928</v>
      </c>
      <c r="C9" s="18">
        <f>C8*(1-Assumptions!B8)</f>
        <v>17058889776.60227</v>
      </c>
      <c r="D9" s="18">
        <f>D8*(1-Assumptions!B8)</f>
        <v>17292744342.114323</v>
      </c>
      <c r="E9" s="18">
        <f>E8*(1-Assumptions!B8)</f>
        <v>17529804740.979366</v>
      </c>
      <c r="F9" s="18">
        <f>F8*(1-Assumptions!B8)</f>
        <v>17770114920.885426</v>
      </c>
    </row>
    <row r="10" spans="1:6" x14ac:dyDescent="0.25">
      <c r="A10" t="s">
        <v>46</v>
      </c>
      <c r="B10" s="18">
        <f>B6*Assumptions!B9</f>
        <v>4449443251.576918</v>
      </c>
      <c r="C10" s="18">
        <f>C6*Assumptions!B9</f>
        <v>4510439168.192501</v>
      </c>
      <c r="D10" s="18">
        <f>D6*Assumptions!B9</f>
        <v>4572271257.253358</v>
      </c>
      <c r="E10" s="18">
        <f>E6*Assumptions!B9</f>
        <v>4634950981.565475</v>
      </c>
      <c r="F10" s="18">
        <f>F6*Assumptions!B9</f>
        <v>4698489961.074584</v>
      </c>
    </row>
    <row r="11" spans="1:6" x14ac:dyDescent="0.25">
      <c r="A11" t="s">
        <v>47</v>
      </c>
      <c r="B11" s="18">
        <f>-B6*Assumptions!B10</f>
        <v>-5830526594.057585</v>
      </c>
      <c r="C11" s="18">
        <f>-C6*Assumptions!B10</f>
        <v>-5910455316.337623</v>
      </c>
      <c r="D11" s="18">
        <f>-D6*Assumptions!B10</f>
        <v>-5991479754.509228</v>
      </c>
      <c r="E11" s="18">
        <f>-E6*Assumptions!B10</f>
        <v>-6073614929.371943</v>
      </c>
      <c r="F11" s="18">
        <f>-F6*Assumptions!B10</f>
        <v>-6156876067.640386</v>
      </c>
    </row>
    <row r="12" spans="1:6" x14ac:dyDescent="0.25">
      <c r="A12" t="s">
        <v>48</v>
      </c>
      <c r="B12" s="18">
        <f>-(B6-Assumptions!B29)*Assumptions!B11</f>
        <v>2322882548.4725766</v>
      </c>
      <c r="C12" s="18">
        <f>-(C6-B6)*Assumptions!B11</f>
        <v>2354726161.7570577</v>
      </c>
      <c r="D12" s="18">
        <f>-(D6-C6)*Assumptions!B11</f>
        <v>2387006308.394295</v>
      </c>
      <c r="E12" s="18">
        <f>-(E6-D6)*Assumptions!B11</f>
        <v>2419728972.672833</v>
      </c>
      <c r="F12" s="18">
        <f>-(F6-E6)*Assumptions!B11</f>
        <v>2452900220.9176836</v>
      </c>
    </row>
    <row r="13" spans="1:6" x14ac:dyDescent="0.25">
      <c r="A13" s="19" t="s">
        <v>49</v>
      </c>
      <c r="B13" s="20">
        <f>B9+B10+B11+B12</f>
        <v>17769996897.06384</v>
      </c>
      <c r="C13" s="20">
        <f>C9+C10+C11+C12</f>
        <v>18013599790.214203</v>
      </c>
      <c r="D13" s="20">
        <f>D9+D10+D11+D12</f>
        <v>18260542153.252747</v>
      </c>
      <c r="E13" s="20">
        <f>E9+E10+E11+E12</f>
        <v>18510869765.84573</v>
      </c>
      <c r="F13" s="20">
        <f>F9+F10+F11+F12</f>
        <v>18764629035.23731</v>
      </c>
    </row>
    <row r="14" spans="1:6" x14ac:dyDescent="0.25">
      <c r="A14" t="s">
        <v>50</v>
      </c>
      <c r="B14" s="21">
        <f>1/(1+Assumptions!$B$26)^(1-0.5*Assumptions!$B$32)</f>
        <v>0.9776885806417406</v>
      </c>
      <c r="C14" s="21">
        <f>1/(1+Assumptions!$B$26)^(2-0.5*Assumptions!$B$32)</f>
        <v>0.9345480336146387</v>
      </c>
      <c r="D14" s="21">
        <f>1/(1+Assumptions!$B$26)^(3-0.5*Assumptions!$B$32)</f>
        <v>0.8933110649197866</v>
      </c>
      <c r="E14" s="21">
        <f>1/(1+Assumptions!$B$26)^(4-0.5*Assumptions!$B$32)</f>
        <v>0.853893679088496</v>
      </c>
      <c r="F14" s="21">
        <f>1/(1+Assumptions!$B$26)^(5-0.5*Assumptions!$B$32)</f>
        <v>0.8162155869554337</v>
      </c>
    </row>
    <row r="15" spans="1:6" x14ac:dyDescent="0.25">
      <c r="A15" s="19" t="s">
        <v>51</v>
      </c>
      <c r="B15" s="20">
        <f>B13*B14</f>
        <v>17373523044.298477</v>
      </c>
      <c r="C15" s="20">
        <f>C13*C14</f>
        <v>16834574262.26575</v>
      </c>
      <c r="D15" s="20">
        <f>D13*D14</f>
        <v>16312344356.934864</v>
      </c>
      <c r="E15" s="20">
        <f>E13*E14</f>
        <v>15806314687.486017</v>
      </c>
      <c r="F15" s="20">
        <f>F13*F14</f>
        <v>15315982701.997194</v>
      </c>
    </row>
    <row r="17" spans="1:2" x14ac:dyDescent="0.25">
      <c r="A17" s="22" t="s">
        <v>52</v>
      </c>
      <c r="B17" s="23">
        <f>SUM(B15:F15)</f>
        <v>81642739052.9823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18764629035.23731</v>
      </c>
    </row>
    <row r="5" spans="1:2" x14ac:dyDescent="0.25">
      <c r="A5" t="s">
        <v>56</v>
      </c>
      <c r="B5" s="18">
        <f>IF(Assumptions!$B$33=0,B4,B4-Forecast!F11-Forecast!F10-Forecast!F12)</f>
        <v>18149368547.15817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0.21862401956437702</v>
      </c>
    </row>
    <row r="7" spans="1:2" x14ac:dyDescent="0.25">
      <c r="A7" t="s">
        <v>58</v>
      </c>
      <c r="B7" s="18">
        <f>-MAX(Forecast!F9,0)*B6</f>
        <v>-3967887904.334996</v>
      </c>
    </row>
    <row r="8" spans="1:2" x14ac:dyDescent="0.25">
      <c r="A8" t="s">
        <v>59</v>
      </c>
      <c r="B8" s="18">
        <f>IF(OR(Assumptions!$B$33=0,Assumptions!B12&lt;=0),B5,MAX(B5+B7,0))</f>
        <v>14181480642.823174</v>
      </c>
    </row>
    <row r="9" spans="1:2" x14ac:dyDescent="0.25">
      <c r="A9" t="s">
        <v>60</v>
      </c>
      <c r="B9" s="18">
        <f>B8*(1+Assumptions!B12)/(Assumptions!B26-Assumptions!B12)</f>
        <v>686894492248.105</v>
      </c>
    </row>
    <row r="10" spans="1:2" x14ac:dyDescent="0.25">
      <c r="A10" t="s">
        <v>61</v>
      </c>
      <c r="B10" s="18">
        <f>B9/(1+Assumptions!B26)^(5-0.5*Assumptions!B32)</f>
        <v>560653991166.7416</v>
      </c>
    </row>
    <row r="11" spans="1:2" x14ac:dyDescent="0.25">
      <c r="A11" t="s">
        <v>62</v>
      </c>
      <c r="B11" s="18">
        <f>Forecast!B17+B10</f>
        <v>642296730219.7239</v>
      </c>
    </row>
    <row r="12" spans="1:2" x14ac:dyDescent="0.25">
      <c r="A12" t="s">
        <v>63</v>
      </c>
      <c r="B12" s="18">
        <f>-Assumptions!B30</f>
        <v>-22164162000</v>
      </c>
    </row>
    <row r="13" spans="1:2" x14ac:dyDescent="0.25">
      <c r="A13" t="s">
        <v>64</v>
      </c>
      <c r="B13" s="18">
        <f>B11+B12</f>
        <v>620132568219.7239</v>
      </c>
    </row>
    <row r="14" spans="1:2" x14ac:dyDescent="0.25">
      <c r="A14" s="19" t="s">
        <v>65</v>
      </c>
      <c r="B14" s="24">
        <f>B13/Assumptions!B31</f>
        <v>198.71865666056235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25980064716.62599</v>
      </c>
    </row>
    <row r="18" spans="1:2" x14ac:dyDescent="0.25">
      <c r="A18" t="s">
        <v>60</v>
      </c>
      <c r="B18" s="18">
        <f>B17*Assumptions!B13</f>
        <v>83936053225.55615</v>
      </c>
    </row>
    <row r="19" spans="1:2" x14ac:dyDescent="0.25">
      <c r="A19" t="s">
        <v>61</v>
      </c>
      <c r="B19" s="18">
        <f>B18/(1+Assumptions!B26)^(5-0.5*Assumptions!B32)</f>
        <v>68509914950.21984</v>
      </c>
    </row>
    <row r="20" spans="1:2" x14ac:dyDescent="0.25">
      <c r="A20" t="s">
        <v>62</v>
      </c>
      <c r="B20" s="18">
        <f>Forecast!B17+B19</f>
        <v>150152654003.20215</v>
      </c>
    </row>
    <row r="21" spans="1:2" x14ac:dyDescent="0.25">
      <c r="A21" t="s">
        <v>63</v>
      </c>
      <c r="B21" s="18">
        <f>-Assumptions!B30</f>
        <v>-22164162000</v>
      </c>
    </row>
    <row r="22" spans="1:2" x14ac:dyDescent="0.25">
      <c r="A22" t="s">
        <v>64</v>
      </c>
      <c r="B22" s="18">
        <f>B20+B21</f>
        <v>127988492003.20215</v>
      </c>
    </row>
    <row r="23" spans="1:2" x14ac:dyDescent="0.25">
      <c r="A23" s="19" t="s">
        <v>65</v>
      </c>
      <c r="B23" s="25">
        <f>B22/Assumptions!B31</f>
        <v>41.013329249748175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15.02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232.6598032181864</v>
      </c>
    </row>
    <row r="29" spans="1:2" x14ac:dyDescent="0.25">
      <c r="A29" s="19" t="s">
        <v>73</v>
      </c>
      <c r="B29" s="12">
        <f>B28/B26-1</f>
        <v>14.49000021426008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0.026162</v>
      </c>
      <c r="B5" s="31">
        <v>429.4026961826447</v>
      </c>
      <c r="C5" s="31">
        <v>727.5090351000059</v>
      </c>
      <c r="D5" s="31">
        <v>3589.1260566237693</v>
      </c>
      <c r="E5" s="31" t="s">
        <v>76</v>
      </c>
      <c r="F5" s="31" t="s">
        <v>76</v>
      </c>
    </row>
    <row r="6" spans="1:6" x14ac:dyDescent="0.25">
      <c r="A6" s="30">
        <v>0.036162</v>
      </c>
      <c r="B6" s="31">
        <v>226.2354437520308</v>
      </c>
      <c r="C6" s="31">
        <v>277.79073510316977</v>
      </c>
      <c r="D6" s="31">
        <v>375.3400789158891</v>
      </c>
      <c r="E6" s="31">
        <v>630.8456282125366</v>
      </c>
      <c r="F6" s="31">
        <v>3083.3289684138804</v>
      </c>
    </row>
    <row r="7" spans="1:6" x14ac:dyDescent="0.25">
      <c r="A7" s="30">
        <v>0.046162</v>
      </c>
      <c r="B7" s="31">
        <v>153.39603643417723</v>
      </c>
      <c r="C7" s="31">
        <v>171.76581687156812</v>
      </c>
      <c r="D7" s="32">
        <v>198.71806505340584</v>
      </c>
      <c r="E7" s="31">
        <v>242.21819467643</v>
      </c>
      <c r="F7" s="31">
        <v>324.50399660408766</v>
      </c>
    </row>
    <row r="8" spans="1:6" x14ac:dyDescent="0.25">
      <c r="A8" s="30">
        <v>0.056162</v>
      </c>
      <c r="B8" s="31">
        <v>115.90083267439414</v>
      </c>
      <c r="C8" s="31">
        <v>124.31044706822908</v>
      </c>
      <c r="D8" s="31">
        <v>135.354921367982</v>
      </c>
      <c r="E8" s="31">
        <v>150.54495424305014</v>
      </c>
      <c r="F8" s="31">
        <v>172.8189909552106</v>
      </c>
    </row>
    <row r="9" spans="1:6" x14ac:dyDescent="0.25">
      <c r="A9" s="30">
        <v>0.066162</v>
      </c>
      <c r="B9" s="31">
        <v>93.02711794005961</v>
      </c>
      <c r="C9" s="31">
        <v>97.36423985860148</v>
      </c>
      <c r="D9" s="31">
        <v>102.70872653325918</v>
      </c>
      <c r="E9" s="31">
        <v>109.47843293172652</v>
      </c>
      <c r="F9" s="31">
        <v>118.35939640260565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575167877000</v>
      </c>
      <c r="C5" s="18">
        <v>584507930000</v>
      </c>
      <c r="D5" s="18">
        <v>596569565000</v>
      </c>
      <c r="E5" s="18">
        <v>552147550000</v>
      </c>
      <c r="F5" s="8" t="s">
        <v>85</v>
      </c>
    </row>
    <row r="6" spans="1:6" x14ac:dyDescent="0.25">
      <c r="A6" t="s">
        <v>44</v>
      </c>
      <c r="B6" s="18">
        <v>17079242000</v>
      </c>
      <c r="C6" s="18">
        <v>17770482000</v>
      </c>
      <c r="D6" s="18">
        <v>22276959000</v>
      </c>
      <c r="E6" s="18">
        <v>22540636000</v>
      </c>
      <c r="F6" s="8" t="s">
        <v>86</v>
      </c>
    </row>
    <row r="7" spans="1:6" x14ac:dyDescent="0.25">
      <c r="A7" t="s">
        <v>87</v>
      </c>
      <c r="B7" s="18">
        <v>4289055000</v>
      </c>
      <c r="C7" s="18">
        <v>4733692000</v>
      </c>
      <c r="D7" s="18">
        <v>4430248000</v>
      </c>
      <c r="E7" s="18">
        <v>4165019000</v>
      </c>
      <c r="F7" s="8" t="s">
        <v>88</v>
      </c>
    </row>
    <row r="8" spans="1:6" x14ac:dyDescent="0.25">
      <c r="A8" t="s">
        <v>89</v>
      </c>
      <c r="B8" s="18">
        <v>1617346000</v>
      </c>
      <c r="C8" s="18">
        <v>1968077000</v>
      </c>
      <c r="D8" s="18">
        <v>2335850000</v>
      </c>
      <c r="E8" s="18">
        <v>2417529000</v>
      </c>
      <c r="F8" s="8" t="s">
        <v>90</v>
      </c>
    </row>
    <row r="9" spans="1:6" x14ac:dyDescent="0.25">
      <c r="A9" t="s">
        <v>91</v>
      </c>
      <c r="B9" s="18">
        <v>2751610000</v>
      </c>
      <c r="C9" s="18">
        <v>6470702000</v>
      </c>
      <c r="D9" s="18">
        <v>3864456000</v>
      </c>
      <c r="E9" s="18">
        <v>2073701000</v>
      </c>
      <c r="F9" s="8" t="s">
        <v>92</v>
      </c>
    </row>
    <row r="10" spans="1:6" x14ac:dyDescent="0.25">
      <c r="A10" t="s">
        <v>93</v>
      </c>
      <c r="B10" s="18">
        <v>70960423000</v>
      </c>
      <c r="C10" s="18">
        <v>76386134000</v>
      </c>
      <c r="D10" s="18">
        <v>73781852000</v>
      </c>
      <c r="E10" s="18">
        <v>69590186000</v>
      </c>
      <c r="F10" s="8" t="s">
        <v>94</v>
      </c>
    </row>
    <row r="11" spans="1:6" x14ac:dyDescent="0.25">
      <c r="A11" t="s">
        <v>95</v>
      </c>
      <c r="B11" s="18">
        <v>48796261000</v>
      </c>
      <c r="C11" s="18">
        <v>54313517000</v>
      </c>
      <c r="D11" s="18">
        <v>63809085000</v>
      </c>
      <c r="E11" s="18">
        <v>55222122000</v>
      </c>
      <c r="F11" s="8" t="s">
        <v>96</v>
      </c>
    </row>
    <row r="12" spans="1:6" x14ac:dyDescent="0.25">
      <c r="A12" t="s">
        <v>32</v>
      </c>
      <c r="B12" s="34">
        <v>3120656000</v>
      </c>
      <c r="C12" s="34">
        <v>3120656000</v>
      </c>
      <c r="D12" s="34">
        <v>3120656000</v>
      </c>
      <c r="E12" s="34">
        <v>3120656000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54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