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<sst xmlns="http://schemas.openxmlformats.org/spreadsheetml/2006/main" count="116" uniqueCount="104">
  <si>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China Resources Land Limited (1109.HK)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</si>
  <si>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</si>
  <si>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</si>
  <si>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</si>
  <si>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</si>
  <si>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</si>
  <si>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</si>
  <si>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</si>
  <si>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</si>
  <si>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</si>
  <si>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</si>
  <si>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</si>
  <si>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</si>
  <si>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</si>
  <si>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</si>
  <si>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</si>
  <si>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</si>
  <si>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</si>
  <si>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</si>
  <si>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</si>
  <si>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</si>
  <si>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</si>
  <si>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</si>
  <si>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</si>
  <si>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</si>
  <si>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</si>
  <si>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</si>
  <si>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</si>
  <si>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</si>
  <si>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</si>
  <si>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</si>
  <si>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</si>
  <si>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</si>
  <si>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</si>
  <si>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</si>
  <si>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</si>
  <si>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</si>
  <si>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</si>
  <si>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</si>
  <si>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</si>
  <si>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</si>
  <si>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</si>
  <si>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</si>
  <si>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</si>
  <si>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</si>
  <si>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</si>
  <si>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</si>
  <si>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</si>
  <si>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</si>
  <si>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</si>
  <si>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</si>
  <si>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</si>
  <si>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</si>
  <si>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</si>
  <si>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</si>
  <si>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</si>
  <si>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</si>
  <si>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</si>
  <si>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</si>
  <si>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</si>
  <si>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</si>
  <si>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</si>
  <si>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</si>
  <si>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</si>
  <si>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</si>
  <si>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</si>
  <si>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</si>
  <si>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</si>
  <si>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</si>
  <si>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</si>
  <si>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</si>
  <si>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</si>
  <si>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</si>
  <si>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</si>
  <si>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</si>
  <si>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</si>
  <si>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</si>
  <si>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</si>
  <si>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</si>
  <si>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</si>
  <si>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</si>
  <si>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</si>
  <si>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</si>
  <si>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</si>
  <si>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</si>
  <si>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</si>
  <si>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</si>
  <si>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</si>
  <si>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</si>
  <si>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</si>
  <si>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</si>
  <si>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</si>
  <si>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</si>
  <si>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</si>
  <si>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</si>
  <si>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</si>
  <si>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</si>
  <si>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</si>
  <si>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</si>
  <si>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</si>
  <si>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Reported capital expenditure averages just 0.52%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</si>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</sst>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0.10771490784500637</v>
      </c>
    </row>
    <row r="7" spans="1:2" x14ac:dyDescent="0.25">
      <c r="A7" t="s">
        <v>5</v>
      </c>
      <c r="B7" s="6">
        <v>0.1833875111914019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0.005653227016166122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-0.45037290424014154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7.889373090187514</v>
      </c>
    </row>
    <row r="14" spans="1:3" x14ac:dyDescent="0.25">
      <c r="A14" t="s">
        <v>12</v>
      </c>
      <c r="B14" s="6">
        <v>0.07561145215143543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0.7923</v>
      </c>
      <c r="C19" s="8" t="s">
        <v>19</v>
      </c>
    </row>
    <row r="20" spans="1:2" x14ac:dyDescent="0.25">
      <c r="A20" t="s">
        <v>20</v>
      </c>
      <c r="B20" s="10">
        <f>B17+B19*B18</f>
        <v>0.08746100000000001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204230098944</v>
      </c>
    </row>
    <row r="23" spans="1:2" x14ac:dyDescent="0.25">
      <c r="A23" t="s">
        <v>24</v>
      </c>
      <c r="B23" s="11">
        <v>287595128000</v>
      </c>
    </row>
    <row r="24" spans="1:2" x14ac:dyDescent="0.25">
      <c r="A24" t="s">
        <v>25</v>
      </c>
      <c r="B24" s="10">
        <f>B22/(B22+B23)</f>
        <v>0.41524933605582204</v>
      </c>
    </row>
    <row r="25" spans="1:2" x14ac:dyDescent="0.25">
      <c r="A25" t="s">
        <v>26</v>
      </c>
      <c r="B25" s="10">
        <f>1-B24</f>
        <v>0.584750663944178</v>
      </c>
    </row>
    <row r="26" spans="1:2" x14ac:dyDescent="0.25">
      <c r="A26" t="s">
        <v>27</v>
      </c>
      <c r="B26" s="12">
        <f>B24*B20+B25*B21*(1-B8)</f>
        <v>0.051942659921366686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281437885000</v>
      </c>
      <c r="C29" s="8" t="s">
        <v>30</v>
      </c>
    </row>
    <row r="30" spans="1:2" x14ac:dyDescent="0.25">
      <c r="A30" t="s">
        <v>31</v>
      </c>
      <c r="B30" s="11">
        <v>166507700000</v>
      </c>
    </row>
    <row r="31" spans="1:2" x14ac:dyDescent="0.25">
      <c r="A31" t="s">
        <v>32</v>
      </c>
      <c r="B31" s="13">
        <v>7130939579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0.10771490784500637</v>
      </c>
      <c r="C5" s="10">
        <f>Assumptions!B6</f>
        <v>0.10771490784500637</v>
      </c>
      <c r="D5" s="10">
        <f>Assumptions!B6</f>
        <v>0.10771490784500637</v>
      </c>
      <c r="E5" s="10">
        <f>Assumptions!B6</f>
        <v>0.10771490784500637</v>
      </c>
      <c r="F5" s="10">
        <f>Assumptions!B6</f>
        <v>0.10771490784500637</v>
      </c>
    </row>
    <row r="6" spans="1:6" x14ac:dyDescent="0.25">
      <c r="A6" t="s">
        <v>43</v>
      </c>
      <c r="B6" s="18">
        <f>Assumptions!B29*(1+B5)</f>
        <v>311752940846.8685</v>
      </c>
      <c r="C6" s="18">
        <f>B6*(1+C5)</f>
        <v>345333380140.5987</v>
      </c>
      <c r="D6" s="18">
        <f>C6*(1+D5)</f>
        <v>382530933358.24786</v>
      </c>
      <c r="E6" s="18">
        <f>D6*(1+E5)</f>
        <v>423735217592.7958</v>
      </c>
      <c r="F6" s="18">
        <f>E6*(1+F5)</f>
        <v>469377817506.4875</v>
      </c>
    </row>
    <row r="7" spans="1:6" x14ac:dyDescent="0.25">
      <c r="A7" t="s">
        <v>5</v>
      </c>
      <c r="B7" s="10">
        <f>Assumptions!B7</f>
        <v>0.1833875111914019</v>
      </c>
      <c r="C7" s="10">
        <f>Assumptions!B7</f>
        <v>0.1833875111914019</v>
      </c>
      <c r="D7" s="10">
        <f>Assumptions!B7</f>
        <v>0.1833875111914019</v>
      </c>
      <c r="E7" s="10">
        <f>Assumptions!B7</f>
        <v>0.1833875111914019</v>
      </c>
      <c r="F7" s="10">
        <f>Assumptions!B7</f>
        <v>0.1833875111914019</v>
      </c>
    </row>
    <row r="8" spans="1:6" x14ac:dyDescent="0.25">
      <c r="A8" t="s">
        <v>44</v>
      </c>
      <c r="B8" s="18">
        <f>B6*B7</f>
        <v>57171595928.50755</v>
      </c>
      <c r="C8" s="18">
        <f>C6*C7</f>
        <v>63329829115.29869</v>
      </c>
      <c r="D8" s="18">
        <f>D6*D7</f>
        <v>70151395822.29309</v>
      </c>
      <c r="E8" s="18">
        <f>E6*E7</f>
        <v>77707746958.48996</v>
      </c>
      <c r="F8" s="18">
        <f>F6*F7</f>
        <v>86078029760.96677</v>
      </c>
    </row>
    <row r="9" spans="1:6" x14ac:dyDescent="0.25">
      <c r="A9" t="s">
        <v>45</v>
      </c>
      <c r="B9" s="18">
        <f>B8*(1-Assumptions!B8)</f>
        <v>47738282600.3038</v>
      </c>
      <c r="C9" s="18">
        <f>C8*(1-Assumptions!B8)</f>
        <v>52880407311.27441</v>
      </c>
      <c r="D9" s="18">
        <f>D8*(1-Assumptions!B8)</f>
        <v>58576415511.61473</v>
      </c>
      <c r="E9" s="18">
        <f>E8*(1-Assumptions!B8)</f>
        <v>64885968710.33911</v>
      </c>
      <c r="F9" s="18">
        <f>F8*(1-Assumptions!B8)</f>
        <v>71875154850.40724</v>
      </c>
    </row>
    <row r="10" spans="1:6" x14ac:dyDescent="0.25">
      <c r="A10" t="s">
        <v>46</v>
      </c>
      <c r="B10" s="18">
        <f>B6*Assumptions!B9</f>
        <v>1762410147.564756</v>
      </c>
      <c r="C10" s="18">
        <f>C6*Assumptions!B9</f>
        <v>1952247994.1947978</v>
      </c>
      <c r="D10" s="18">
        <f>D6*Assumptions!B9</f>
        <v>2162534206.980089</v>
      </c>
      <c r="E10" s="18">
        <f>E6*Assumptions!B9</f>
        <v>2395471379.796623</v>
      </c>
      <c r="F10" s="18">
        <f>F6*Assumptions!B9</f>
        <v>2653499358.716767</v>
      </c>
    </row>
    <row r="11" spans="1:6" x14ac:dyDescent="0.25">
      <c r="A11" t="s">
        <v>47</v>
      </c>
      <c r="B11" s="18">
        <f>-B6*Assumptions!B10</f>
        <v>-3117529408.468685</v>
      </c>
      <c r="C11" s="18">
        <f>-C6*Assumptions!B10</f>
        <v>-3453333801.405987</v>
      </c>
      <c r="D11" s="18">
        <f>-D6*Assumptions!B10</f>
        <v>-3825309333.5824785</v>
      </c>
      <c r="E11" s="18">
        <f>-E6*Assumptions!B10</f>
        <v>-4237352175.927958</v>
      </c>
      <c r="F11" s="18">
        <f>-F6*Assumptions!B10</f>
        <v>-4693778175.064875</v>
      </c>
    </row>
    <row r="12" spans="1:6" x14ac:dyDescent="0.25">
      <c r="A12" t="s">
        <v>48</v>
      </c>
      <c r="B12" s="18">
        <f>-(B6-Assumptions!B29)*Assumptions!B11</f>
        <v>13653079743.956263</v>
      </c>
      <c r="C12" s="18">
        <f>-(C6-B6)*Assumptions!B11</f>
        <v>15123719970.377022</v>
      </c>
      <c r="D12" s="18">
        <f>-(D6-C6)*Assumptions!B11</f>
        <v>16752770073.259878</v>
      </c>
      <c r="E12" s="18">
        <f>-(E6-D6)*Assumptions!B11</f>
        <v>18557293157.84962</v>
      </c>
      <c r="F12" s="18">
        <f>-(F6-E6)*Assumptions!B11</f>
        <v>20556190280.20017</v>
      </c>
    </row>
    <row r="13" spans="1:6" x14ac:dyDescent="0.25">
      <c r="A13" s="19" t="s">
        <v>49</v>
      </c>
      <c r="B13" s="20">
        <f>B9+B10+B11+B12</f>
        <v>60036243083.35613</v>
      </c>
      <c r="C13" s="20">
        <f>C9+C10+C11+C12</f>
        <v>66503041474.44024</v>
      </c>
      <c r="D13" s="20">
        <f>D9+D10+D11+D12</f>
        <v>73666410458.27222</v>
      </c>
      <c r="E13" s="20">
        <f>E9+E10+E11+E12</f>
        <v>81601381072.0574</v>
      </c>
      <c r="F13" s="20">
        <f>F9+F10+F11+F12</f>
        <v>90391066314.2593</v>
      </c>
    </row>
    <row r="14" spans="1:6" x14ac:dyDescent="0.25">
      <c r="A14" t="s">
        <v>50</v>
      </c>
      <c r="B14" s="21">
        <f>1/(1+Assumptions!$B$26)^(1-0.5*Assumptions!$B$32)</f>
        <v>0.9749985418479933</v>
      </c>
      <c r="C14" s="21">
        <f>1/(1+Assumptions!$B$26)^(2-0.5*Assumptions!$B$32)</f>
        <v>0.9268552165389653</v>
      </c>
      <c r="D14" s="21">
        <f>1/(1+Assumptions!$B$26)^(3-0.5*Assumptions!$B$32)</f>
        <v>0.8810891048075267</v>
      </c>
      <c r="E14" s="21">
        <f>1/(1+Assumptions!$B$26)^(4-0.5*Assumptions!$B$32)</f>
        <v>0.8375828249739284</v>
      </c>
      <c r="F14" s="21">
        <f>1/(1+Assumptions!$B$26)^(5-0.5*Assumptions!$B$32)</f>
        <v>0.7962247914126215</v>
      </c>
    </row>
    <row r="15" spans="1:6" x14ac:dyDescent="0.25">
      <c r="A15" s="19" t="s">
        <v>51</v>
      </c>
      <c r="B15" s="20">
        <f>B13*B14</f>
        <v>58535249464.3039</v>
      </c>
      <c r="C15" s="20">
        <f>C13*C14</f>
        <v>61638690906.2921</v>
      </c>
      <c r="D15" s="20">
        <f>D13*D14</f>
        <v>64906671645.06289</v>
      </c>
      <c r="E15" s="20">
        <f>E13*E14</f>
        <v>68347915280.107895</v>
      </c>
      <c r="F15" s="20">
        <f>F13*F14</f>
        <v>71971607921.63554</v>
      </c>
    </row>
    <row r="17" spans="1:2" x14ac:dyDescent="0.25">
      <c r="A17" s="22" t="s">
        <v>52</v>
      </c>
      <c r="B17" s="23">
        <f>SUM(B15:F15)</f>
        <v>325400135217.40234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90391066314.2593</v>
      </c>
    </row>
    <row r="5" spans="1:2" x14ac:dyDescent="0.25">
      <c r="A5" t="s">
        <v>56</v>
      </c>
      <c r="B5" s="18">
        <f>IF(Assumptions!$B$33=0,B4,B4-Forecast!F11-Forecast!F10-Forecast!F12)</f>
        <v>72031410960.90556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0.33063774453015043</v>
      </c>
    </row>
    <row r="7" spans="1:2" x14ac:dyDescent="0.25">
      <c r="A7" t="s">
        <v>58</v>
      </c>
      <c r="B7" s="18">
        <f>-MAX(Forecast!F9,0)*B6</f>
        <v>-23816303255.43817</v>
      </c>
    </row>
    <row r="8" spans="1:2" x14ac:dyDescent="0.25">
      <c r="A8" t="s">
        <v>59</v>
      </c>
      <c r="B8" s="18">
        <f>IF(OR(Assumptions!$B$33=0,Assumptions!B12&lt;=0),B5,MAX(B5+B7,0))</f>
        <v>48215107705.46739</v>
      </c>
    </row>
    <row r="9" spans="1:2" x14ac:dyDescent="0.25">
      <c r="A9" t="s">
        <v>60</v>
      </c>
      <c r="B9" s="18">
        <f>B8*(1+Assumptions!B12)/(Assumptions!B26-Assumptions!B12)</f>
        <v>1834283828780.8215</v>
      </c>
    </row>
    <row r="10" spans="1:2" x14ac:dyDescent="0.25">
      <c r="A10" t="s">
        <v>61</v>
      </c>
      <c r="B10" s="18">
        <f>B9/(1+Assumptions!B26)^(5-0.5*Assumptions!B32)</f>
        <v>1460502258962.5542</v>
      </c>
    </row>
    <row r="11" spans="1:2" x14ac:dyDescent="0.25">
      <c r="A11" t="s">
        <v>62</v>
      </c>
      <c r="B11" s="18">
        <f>Forecast!B17+B10</f>
        <v>1785902394179.9565</v>
      </c>
    </row>
    <row r="12" spans="1:2" x14ac:dyDescent="0.25">
      <c r="A12" t="s">
        <v>63</v>
      </c>
      <c r="B12" s="18">
        <f>-Assumptions!B30</f>
        <v>-166507700000</v>
      </c>
    </row>
    <row r="13" spans="1:2" x14ac:dyDescent="0.25">
      <c r="A13" t="s">
        <v>64</v>
      </c>
      <c r="B13" s="18">
        <f>B11+B12</f>
        <v>1619394694179.9565</v>
      </c>
    </row>
    <row r="14" spans="1:2" x14ac:dyDescent="0.25">
      <c r="A14" s="19" t="s">
        <v>65</v>
      </c>
      <c r="B14" s="24">
        <f>B13/Assumptions!B31</f>
        <v>227.09415445742013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88731529119.68353</v>
      </c>
    </row>
    <row r="18" spans="1:2" x14ac:dyDescent="0.25">
      <c r="A18" t="s">
        <v>60</v>
      </c>
      <c r="B18" s="18">
        <f>B17*Assumptions!B13</f>
        <v>700036138088.0211</v>
      </c>
    </row>
    <row r="19" spans="1:2" x14ac:dyDescent="0.25">
      <c r="A19" t="s">
        <v>61</v>
      </c>
      <c r="B19" s="18">
        <f>B18/(1+Assumptions!B26)^(5-0.5*Assumptions!B32)</f>
        <v>557386128030.4316</v>
      </c>
    </row>
    <row r="20" spans="1:2" x14ac:dyDescent="0.25">
      <c r="A20" t="s">
        <v>62</v>
      </c>
      <c r="B20" s="18">
        <f>Forecast!B17+B19</f>
        <v>882786263247.834</v>
      </c>
    </row>
    <row r="21" spans="1:2" x14ac:dyDescent="0.25">
      <c r="A21" t="s">
        <v>63</v>
      </c>
      <c r="B21" s="18">
        <f>-Assumptions!B30</f>
        <v>-166507700000</v>
      </c>
    </row>
    <row r="22" spans="1:2" x14ac:dyDescent="0.25">
      <c r="A22" t="s">
        <v>64</v>
      </c>
      <c r="B22" s="18">
        <f>B20+B21</f>
        <v>716278563247.834</v>
      </c>
    </row>
    <row r="23" spans="1:2" x14ac:dyDescent="0.25">
      <c r="A23" s="19" t="s">
        <v>65</v>
      </c>
      <c r="B23" s="25">
        <f>B22/Assumptions!B31</f>
        <v>100.44658986555045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28.64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265.8818360387475</v>
      </c>
    </row>
    <row r="29" spans="1:2" x14ac:dyDescent="0.25">
      <c r="A29" s="19" t="s">
        <v>73</v>
      </c>
      <c r="B29" s="12">
        <f>B28/B26-1</f>
        <v>8.283583660570793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0.031943</v>
      </c>
      <c r="B5" s="31">
        <v>445.72045552630965</v>
      </c>
      <c r="C5" s="31">
        <v>575.4301486794873</v>
      </c>
      <c r="D5" s="31">
        <v>891.125517842283</v>
      </c>
      <c r="E5" s="31">
        <v>2828.619810644276</v>
      </c>
      <c r="F5" s="31" t="s">
        <v>76</v>
      </c>
    </row>
    <row r="6" spans="1:6" x14ac:dyDescent="0.25">
      <c r="A6" s="30">
        <v>0.041943</v>
      </c>
      <c r="B6" s="31">
        <v>276.9857368241869</v>
      </c>
      <c r="C6" s="31">
        <v>310.48560187116425</v>
      </c>
      <c r="D6" s="31">
        <v>363.4298698397834</v>
      </c>
      <c r="E6" s="31">
        <v>460.24004653466875</v>
      </c>
      <c r="F6" s="31">
        <v>695.6862069801603</v>
      </c>
    </row>
    <row r="7" spans="1:6" x14ac:dyDescent="0.25">
      <c r="A7" s="30">
        <v>0.051943</v>
      </c>
      <c r="B7" s="31">
        <v>199.41986915747992</v>
      </c>
      <c r="C7" s="31">
        <v>211.1731186474876</v>
      </c>
      <c r="D7" s="32">
        <v>227.09123293163933</v>
      </c>
      <c r="E7" s="31">
        <v>250.02126901727974</v>
      </c>
      <c r="F7" s="31">
        <v>286.17103113166075</v>
      </c>
    </row>
    <row r="8" spans="1:6" x14ac:dyDescent="0.25">
      <c r="A8" s="30">
        <v>0.061943</v>
      </c>
      <c r="B8" s="31">
        <v>154.76836533251634</v>
      </c>
      <c r="C8" s="31">
        <v>159.03549345489773</v>
      </c>
      <c r="D8" s="31">
        <v>164.31971351894242</v>
      </c>
      <c r="E8" s="31">
        <v>171.09863811974023</v>
      </c>
      <c r="F8" s="31">
        <v>180.2044154238388</v>
      </c>
    </row>
    <row r="9" spans="1:6" x14ac:dyDescent="0.25">
      <c r="A9" s="30">
        <v>0.071943</v>
      </c>
      <c r="B9" s="31">
        <v>125.69746465271581</v>
      </c>
      <c r="C9" s="31">
        <v>126.8357392003109</v>
      </c>
      <c r="D9" s="31">
        <v>128.11240266526104</v>
      </c>
      <c r="E9" s="31">
        <v>129.57694682832414</v>
      </c>
      <c r="F9" s="31">
        <v>131.3056570607937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281437885000</v>
      </c>
      <c r="C5" s="18">
        <v>278905492000</v>
      </c>
      <c r="D5" s="18">
        <v>251137103000</v>
      </c>
      <c r="E5" s="18">
        <v>207061119000</v>
      </c>
      <c r="F5" s="8" t="s">
        <v>85</v>
      </c>
    </row>
    <row r="6" spans="1:6" x14ac:dyDescent="0.25">
      <c r="A6" t="s">
        <v>44</v>
      </c>
      <c r="B6" s="18">
        <v>45460664000</v>
      </c>
      <c r="C6" s="18">
        <v>46613192000</v>
      </c>
      <c r="D6" s="18">
        <v>49317816000</v>
      </c>
      <c r="E6" s="18">
        <v>43174934000</v>
      </c>
      <c r="F6" s="8" t="s">
        <v>86</v>
      </c>
    </row>
    <row r="7" spans="1:6" x14ac:dyDescent="0.25">
      <c r="A7" t="s">
        <v>87</v>
      </c>
      <c r="B7" s="18">
        <v>1531384000</v>
      </c>
      <c r="C7" s="18">
        <v>1535732000</v>
      </c>
      <c r="D7" s="18">
        <v>1312581000</v>
      </c>
      <c r="E7" s="18">
        <v>1333223000</v>
      </c>
      <c r="F7" s="8" t="s">
        <v>88</v>
      </c>
    </row>
    <row r="8" spans="1:6" x14ac:dyDescent="0.25">
      <c r="A8" t="s">
        <v>89</v>
      </c>
      <c r="B8" s="18">
        <v>899294000</v>
      </c>
      <c r="C8" s="18">
        <v>966879000</v>
      </c>
      <c r="D8" s="18">
        <v>1260466000</v>
      </c>
      <c r="E8" s="18">
        <v>1896770000</v>
      </c>
      <c r="F8" s="8" t="s">
        <v>90</v>
      </c>
    </row>
    <row r="9" spans="1:6" x14ac:dyDescent="0.25">
      <c r="A9" t="s">
        <v>91</v>
      </c>
      <c r="B9" s="18">
        <v>-8608394000</v>
      </c>
      <c r="C9" s="18">
        <v>-12506130000</v>
      </c>
      <c r="D9" s="18">
        <v>-11642309000</v>
      </c>
      <c r="E9" s="18">
        <v>23757424000</v>
      </c>
      <c r="F9" s="8" t="s">
        <v>92</v>
      </c>
    </row>
    <row r="10" spans="1:6" x14ac:dyDescent="0.25">
      <c r="A10" t="s">
        <v>93</v>
      </c>
      <c r="B10" s="18">
        <v>287595128000</v>
      </c>
      <c r="C10" s="18">
        <v>266632657000</v>
      </c>
      <c r="D10" s="18">
        <v>239329413000</v>
      </c>
      <c r="E10" s="18">
        <v>224218913000</v>
      </c>
      <c r="F10" s="8" t="s">
        <v>94</v>
      </c>
    </row>
    <row r="11" spans="1:6" x14ac:dyDescent="0.25">
      <c r="A11" t="s">
        <v>95</v>
      </c>
      <c r="B11" s="18">
        <v>121087428000</v>
      </c>
      <c r="C11" s="18">
        <v>137115776000</v>
      </c>
      <c r="D11" s="18">
        <v>119729287000</v>
      </c>
      <c r="E11" s="18">
        <v>96611377000</v>
      </c>
      <c r="F11" s="8" t="s">
        <v>96</v>
      </c>
    </row>
    <row r="12" spans="1:6" x14ac:dyDescent="0.25">
      <c r="A12" t="s">
        <v>32</v>
      </c>
      <c r="B12" s="34">
        <v>7130939579</v>
      </c>
      <c r="C12" s="34">
        <v>7130939579</v>
      </c>
      <c r="D12" s="34">
        <v>7130939579</v>
      </c>
      <c r="E12" s="34">
        <v>7130939579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2026-09-19T00:09:42Z</dcterms:modified>
</cp:coreProperties>
</file>