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<sst xmlns="http://schemas.openxmlformats.org/spreadsheetml/2006/main" count="114" uniqueCount="102">
  <si>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Sino Biopharmaceutical Limited (1177.HK)</t>
  </si>
  <si>
    <t>DCF Studio - Base case</t>
  </si>
  <si>
    <t>Blue figures on a cream fill are inputs. Every other figure is a formula - change an input and the model reprices. Currency figures are CNY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</si>
  <si>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</si>
  <si>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</si>
  <si>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</si>
  <si>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</si>
  <si>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</si>
  <si>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</si>
  <si>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</si>
  <si>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</si>
  <si>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</si>
  <si>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</si>
  <si>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</si>
  <si>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</si>
  <si>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</si>
  <si>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</si>
  <si>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</si>
  <si>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</si>
  <si>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</si>
  <si>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</si>
  <si>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</si>
  <si>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</si>
  <si>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(CNY m)</t>
  </si>
  <si>
    <t>Total debt (CNY m)</t>
  </si>
  <si>
    <t>Equity weight</t>
  </si>
  <si>
    <t>Debt weight</t>
  </si>
  <si>
    <t>WACC</t>
  </si>
  <si>
    <t>Base year</t>
  </si>
  <si>
    <t>Revenue, last reported year (CNY m)</t>
  </si>
  <si>
    <t>Fiscal year ended 2025-12-31</t>
  </si>
  <si>
    <t>Net debt (CNY m)</t>
  </si>
  <si>
    <t>Diluted shares</t>
  </si>
  <si>
    <t>Mid-year discounting (1 = yes, 0 = no)</t>
  </si>
  <si>
    <t>Terminal year on a steady-state footing (1 = yes, 0 = no)</t>
  </si>
  <si>
    <t>Forecast cashflows (CNY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</si>
  <si>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</si>
  <si>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</si>
  <si>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</si>
  <si>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</si>
  <si>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</si>
  <si>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</si>
  <si>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</si>
  <si>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</si>
  <si>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</si>
  <si>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</si>
  <si>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</si>
  <si>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</si>
  <si>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</si>
  <si>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</si>
  <si>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</si>
  <si>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</si>
  <si>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</si>
  <si>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(CNY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</si>
  <si>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</si>
  <si>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</si>
  <si>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</si>
  <si>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</si>
  <si>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</si>
  <si>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</si>
  <si>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</si>
  <si>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</si>
  <si>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</si>
  <si>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</si>
  <si>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</si>
  <si>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</si>
  <si>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</si>
  <si>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</si>
  <si>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</si>
  <si>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</si>
  <si>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CNY to HKD</t>
  </si>
  <si>
    <t>CNY/HKD at 1.1708</t>
  </si>
  <si>
    <t>Value per share (HKD)</t>
  </si>
  <si>
    <t>Implied upside</t>
  </si>
  <si>
    <t>Value per share (CNY)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</si>
  <si>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</si>
  <si>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(CNY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</si>
  <si>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</si>
  <si>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</si>
  <si>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</si>
  <si>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</si>
  <si>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</si>
  <si>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</si>
  <si>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</si>
  <si>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</si>
  <si>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</si>
  <si>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</si>
  <si>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</si>
  <si>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</si>
  <si>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</si>
  <si>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</si>
  <si>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</si>
  <si>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</si>
  <si>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</si>
  <si>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</si>
  <si>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</si>
  <si>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</si>
  <si>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</si>
  <si>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CNY, trades in HKD. Modelled in CNY, converted at the end.</t>
  </si>
  <si>
    <t>Adjusted: Capital expenditure runs at 5.8% of revenue against depreciation of 4.1%.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</si>
  <si>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HKD assumption - no free live source available for this market.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</si>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</sst>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0.06945513258749747</v>
      </c>
    </row>
    <row r="7" spans="1:2" x14ac:dyDescent="0.25">
      <c r="A7" t="s">
        <v>5</v>
      </c>
      <c r="B7" s="6">
        <v>0.2197619831294379</v>
      </c>
    </row>
    <row r="8" spans="1:2" x14ac:dyDescent="0.25">
      <c r="A8" t="s">
        <v>6</v>
      </c>
      <c r="B8" s="6">
        <v>0.14048675693824242</v>
      </c>
    </row>
    <row r="9" spans="1:2" x14ac:dyDescent="0.25">
      <c r="A9" t="s">
        <v>7</v>
      </c>
      <c r="B9" s="6">
        <v>0.04126507071741718</v>
      </c>
    </row>
    <row r="10" spans="1:2" x14ac:dyDescent="0.25">
      <c r="A10" t="s">
        <v>8</v>
      </c>
      <c r="B10" s="6">
        <v>0.058088409570976135</v>
      </c>
    </row>
    <row r="11" spans="1:2" x14ac:dyDescent="0.25">
      <c r="A11" t="s">
        <v>9</v>
      </c>
      <c r="B11" s="6">
        <v>-0.037438455048279744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11.166618445183367</v>
      </c>
    </row>
    <row r="14" spans="1:3" x14ac:dyDescent="0.25">
      <c r="A14" t="s">
        <v>12</v>
      </c>
      <c r="B14" s="6">
        <v>0.12484286812743461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0.7521</v>
      </c>
      <c r="C19" s="8" t="s">
        <v>19</v>
      </c>
    </row>
    <row r="20" spans="1:2" x14ac:dyDescent="0.25">
      <c r="A20" t="s">
        <v>20</v>
      </c>
      <c r="B20" s="10">
        <f>B17+B19*B18</f>
        <v>0.084647</v>
      </c>
    </row>
    <row r="21" spans="1:3" x14ac:dyDescent="0.25">
      <c r="A21" t="s">
        <v>21</v>
      </c>
      <c r="B21" s="6">
        <v>0.032</v>
      </c>
      <c r="C21" s="8" t="s">
        <v>22</v>
      </c>
    </row>
    <row r="22" spans="1:2" x14ac:dyDescent="0.25">
      <c r="A22" t="s">
        <v>23</v>
      </c>
      <c r="B22" s="11">
        <v>97469661184</v>
      </c>
    </row>
    <row r="23" spans="1:2" x14ac:dyDescent="0.25">
      <c r="A23" t="s">
        <v>24</v>
      </c>
      <c r="B23" s="11">
        <v>16070011000</v>
      </c>
    </row>
    <row r="24" spans="1:2" x14ac:dyDescent="0.25">
      <c r="A24" t="s">
        <v>25</v>
      </c>
      <c r="B24" s="10">
        <f>B22/(B22+B23)</f>
        <v>0.8584634719223314</v>
      </c>
    </row>
    <row r="25" spans="1:2" x14ac:dyDescent="0.25">
      <c r="A25" t="s">
        <v>26</v>
      </c>
      <c r="B25" s="10">
        <f>1-B24</f>
        <v>0.1415365280776686</v>
      </c>
    </row>
    <row r="26" spans="1:2" x14ac:dyDescent="0.25">
      <c r="A26" t="s">
        <v>27</v>
      </c>
      <c r="B26" s="12">
        <f>B24*B20+B25*B21*(1-B8)</f>
        <v>0.07655923815612121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31834488000</v>
      </c>
      <c r="C29" s="8" t="s">
        <v>30</v>
      </c>
    </row>
    <row r="30" spans="1:2" x14ac:dyDescent="0.25">
      <c r="A30" t="s">
        <v>31</v>
      </c>
      <c r="B30" s="11">
        <v>-6891457000</v>
      </c>
    </row>
    <row r="31" spans="1:2" x14ac:dyDescent="0.25">
      <c r="A31" t="s">
        <v>32</v>
      </c>
      <c r="B31" s="13">
        <v>18056820842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0.06945513258749747</v>
      </c>
      <c r="C5" s="10">
        <f>Assumptions!B6</f>
        <v>0.06945513258749747</v>
      </c>
      <c r="D5" s="10">
        <f>Assumptions!B6</f>
        <v>0.06945513258749747</v>
      </c>
      <c r="E5" s="10">
        <f>Assumptions!B6</f>
        <v>0.06945513258749747</v>
      </c>
      <c r="F5" s="10">
        <f>Assumptions!B6</f>
        <v>0.06945513258749747</v>
      </c>
    </row>
    <row r="6" spans="1:6" x14ac:dyDescent="0.25">
      <c r="A6" t="s">
        <v>43</v>
      </c>
      <c r="B6" s="18">
        <f>Assumptions!B29*(1+B5)</f>
        <v>34045556584.895096</v>
      </c>
      <c r="C6" s="18">
        <f>B6*(1+C5)</f>
        <v>36410195231.51413</v>
      </c>
      <c r="D6" s="18">
        <f>C6*(1+D5)</f>
        <v>38939070168.85561</v>
      </c>
      <c r="E6" s="18">
        <f>D6*(1+E5)</f>
        <v>41643588450.26735</v>
      </c>
      <c r="F6" s="18">
        <f>E6*(1+F5)</f>
        <v>44535949407.49985</v>
      </c>
    </row>
    <row r="7" spans="1:6" x14ac:dyDescent="0.25">
      <c r="A7" t="s">
        <v>5</v>
      </c>
      <c r="B7" s="10">
        <f>Assumptions!B7</f>
        <v>0.2197619831294379</v>
      </c>
      <c r="C7" s="10">
        <f>Assumptions!B7</f>
        <v>0.2197619831294379</v>
      </c>
      <c r="D7" s="10">
        <f>Assumptions!B7</f>
        <v>0.2197619831294379</v>
      </c>
      <c r="E7" s="10">
        <f>Assumptions!B7</f>
        <v>0.2197619831294379</v>
      </c>
      <c r="F7" s="10">
        <f>Assumptions!B7</f>
        <v>0.2197619831294379</v>
      </c>
    </row>
    <row r="8" spans="1:6" x14ac:dyDescent="0.25">
      <c r="A8" t="s">
        <v>44</v>
      </c>
      <c r="B8" s="18">
        <f>B6*B7</f>
        <v>7481919031.842039</v>
      </c>
      <c r="C8" s="18">
        <f>C6*C7</f>
        <v>8001576710.207548</v>
      </c>
      <c r="D8" s="18">
        <f>D6*D7</f>
        <v>8557327281.524046</v>
      </c>
      <c r="E8" s="18">
        <f>E6*E7</f>
        <v>9151677582.456907</v>
      </c>
      <c r="F8" s="18">
        <f>F6*F7</f>
        <v>9787308562.34448</v>
      </c>
    </row>
    <row r="9" spans="1:6" x14ac:dyDescent="0.25">
      <c r="A9" t="s">
        <v>45</v>
      </c>
      <c r="B9" s="18">
        <f>B8*(1-Assumptions!B8)</f>
        <v>6430808491.384036</v>
      </c>
      <c r="C9" s="18">
        <f>C8*(1-Assumptions!B8)</f>
        <v>6877461147.797919</v>
      </c>
      <c r="D9" s="18">
        <f>D8*(1-Assumptions!B8)</f>
        <v>7355136123.683586</v>
      </c>
      <c r="E9" s="18">
        <f>E8*(1-Assumptions!B8)</f>
        <v>7865988078.353122</v>
      </c>
      <c r="F9" s="18">
        <f>F8*(1-Assumptions!B8)</f>
        <v>8412321323.266812</v>
      </c>
    </row>
    <row r="10" spans="1:6" x14ac:dyDescent="0.25">
      <c r="A10" t="s">
        <v>46</v>
      </c>
      <c r="B10" s="18">
        <f>B6*Assumptions!B9</f>
        <v>1404892300.0895243</v>
      </c>
      <c r="C10" s="18">
        <f>C6*Assumptions!B9</f>
        <v>1502469281.0633965</v>
      </c>
      <c r="D10" s="18">
        <f>D6*Assumptions!B9</f>
        <v>1606823484.1882968</v>
      </c>
      <c r="E10" s="18">
        <f>E6*Assumptions!B9</f>
        <v>1718425622.3272996</v>
      </c>
      <c r="F10" s="18">
        <f>F6*Assumptions!B9</f>
        <v>1837779101.767795</v>
      </c>
    </row>
    <row r="11" spans="1:6" x14ac:dyDescent="0.25">
      <c r="A11" t="s">
        <v>47</v>
      </c>
      <c r="B11" s="18">
        <f>-B6*Assumptions!B10</f>
        <v>-1977652234.97523</v>
      </c>
      <c r="C11" s="18">
        <f>-C6*Assumptions!B10</f>
        <v>-2115010333.167395</v>
      </c>
      <c r="D11" s="18">
        <f>-D6*Assumptions!B10</f>
        <v>-2261908656.2814636</v>
      </c>
      <c r="E11" s="18">
        <f>-E6*Assumptions!B10</f>
        <v>-2419009821.904301</v>
      </c>
      <c r="F11" s="18">
        <f>-F6*Assumptions!B10</f>
        <v>-2587022469.815123</v>
      </c>
    </row>
    <row r="12" spans="1:6" x14ac:dyDescent="0.25">
      <c r="A12" t="s">
        <v>48</v>
      </c>
      <c r="B12" s="18">
        <f>-(B6-Assumptions!B29)*Assumptions!B11</f>
        <v>82778991.82425855</v>
      </c>
      <c r="C12" s="18">
        <f>-(C6-B6)*Assumptions!B11</f>
        <v>88528417.67687175</v>
      </c>
      <c r="D12" s="18">
        <f>-(D6-C6)*Assumptions!B11</f>
        <v>94677170.6643804</v>
      </c>
      <c r="E12" s="18">
        <f>-(E6-D6)*Assumptions!B11</f>
        <v>101252986.10588405</v>
      </c>
      <c r="F12" s="18">
        <f>-(F6-E6)*Assumptions!B11</f>
        <v>108285525.68074825</v>
      </c>
    </row>
    <row r="13" spans="1:6" x14ac:dyDescent="0.25">
      <c r="A13" s="19" t="s">
        <v>49</v>
      </c>
      <c r="B13" s="20">
        <f>B9+B10+B11+B12</f>
        <v>5940827548.322589</v>
      </c>
      <c r="C13" s="20">
        <f>C9+C10+C11+C12</f>
        <v>6353448513.370791</v>
      </c>
      <c r="D13" s="20">
        <f>D9+D10+D11+D12</f>
        <v>6794728122.2548</v>
      </c>
      <c r="E13" s="20">
        <f>E9+E10+E11+E12</f>
        <v>7266656864.882005</v>
      </c>
      <c r="F13" s="20">
        <f>F9+F10+F11+F12</f>
        <v>7771363480.900232</v>
      </c>
    </row>
    <row r="14" spans="1:6" x14ac:dyDescent="0.25">
      <c r="A14" t="s">
        <v>50</v>
      </c>
      <c r="B14" s="21">
        <f>1/(1+Assumptions!$B$26)^(1-0.5*Assumptions!$B$32)</f>
        <v>0.9637869332572903</v>
      </c>
      <c r="C14" s="21">
        <f>1/(1+Assumptions!$B$26)^(2-0.5*Assumptions!$B$32)</f>
        <v>0.8952474690645154</v>
      </c>
      <c r="D14" s="21">
        <f>1/(1+Assumptions!$B$26)^(3-0.5*Assumptions!$B$32)</f>
        <v>0.8315821715466879</v>
      </c>
      <c r="E14" s="21">
        <f>1/(1+Assumptions!$B$26)^(4-0.5*Assumptions!$B$32)</f>
        <v>0.7724444155725064</v>
      </c>
      <c r="F14" s="21">
        <f>1/(1+Assumptions!$B$26)^(5-0.5*Assumptions!$B$32)</f>
        <v>0.7175122261692835</v>
      </c>
    </row>
    <row r="15" spans="1:6" x14ac:dyDescent="0.25">
      <c r="A15" s="19" t="s">
        <v>51</v>
      </c>
      <c r="B15" s="20">
        <f>B13*B14</f>
        <v>5725691963.808254</v>
      </c>
      <c r="C15" s="20">
        <f>C13*C14</f>
        <v>5687908701.4269085</v>
      </c>
      <c r="D15" s="20">
        <f>D13*D14</f>
        <v>5650374766.973995</v>
      </c>
      <c r="E15" s="20">
        <f>E13*E14</f>
        <v>5613088515.159722</v>
      </c>
      <c r="F15" s="20">
        <f>F13*F14</f>
        <v>5576048311.551397</v>
      </c>
    </row>
    <row r="17" spans="1:2" x14ac:dyDescent="0.25">
      <c r="A17" s="22" t="s">
        <v>52</v>
      </c>
      <c r="B17" s="23">
        <f>SUM(B15:F15)</f>
        <v>28253112258.92028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7771363480.900232</v>
      </c>
    </row>
    <row r="5" spans="1:2" x14ac:dyDescent="0.25">
      <c r="A5" t="s">
        <v>56</v>
      </c>
      <c r="B5" s="18">
        <f>IF(Assumptions!$B$33=0,B4,B4-Forecast!F11-Forecast!F10-Forecast!F12)</f>
        <v>8603909530.629158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0.2002517274313259</v>
      </c>
    </row>
    <row r="7" spans="1:2" x14ac:dyDescent="0.25">
      <c r="A7" t="s">
        <v>58</v>
      </c>
      <c r="B7" s="18">
        <f>-MAX(Forecast!F9,0)*B6</f>
        <v>-1722947746.1713374</v>
      </c>
    </row>
    <row r="8" spans="1:2" x14ac:dyDescent="0.25">
      <c r="A8" t="s">
        <v>59</v>
      </c>
      <c r="B8" s="18">
        <f>IF(OR(Assumptions!$B$33=0,Assumptions!B12&lt;=0),B5,MAX(B5+B7,0))</f>
        <v>6880961784.457821</v>
      </c>
    </row>
    <row r="9" spans="1:2" x14ac:dyDescent="0.25">
      <c r="A9" t="s">
        <v>60</v>
      </c>
      <c r="B9" s="18">
        <f>B8*(1+Assumptions!B12)/(Assumptions!B26-Assumptions!B12)</f>
        <v>136793833293.51854</v>
      </c>
    </row>
    <row r="10" spans="1:2" x14ac:dyDescent="0.25">
      <c r="A10" t="s">
        <v>61</v>
      </c>
      <c r="B10" s="18">
        <f>B9/(1+Assumptions!B26)^(5-0.5*Assumptions!B32)</f>
        <v>98151247852.66234</v>
      </c>
    </row>
    <row r="11" spans="1:2" x14ac:dyDescent="0.25">
      <c r="A11" t="s">
        <v>62</v>
      </c>
      <c r="B11" s="18">
        <f>Forecast!B17+B10</f>
        <v>126404360111.58261</v>
      </c>
    </row>
    <row r="12" spans="1:2" x14ac:dyDescent="0.25">
      <c r="A12" t="s">
        <v>63</v>
      </c>
      <c r="B12" s="18">
        <f>-Assumptions!B30</f>
        <v>6891457000</v>
      </c>
    </row>
    <row r="13" spans="1:2" x14ac:dyDescent="0.25">
      <c r="A13" t="s">
        <v>64</v>
      </c>
      <c r="B13" s="18">
        <f>B11+B12</f>
        <v>133295817111.58261</v>
      </c>
    </row>
    <row r="14" spans="1:2" x14ac:dyDescent="0.25">
      <c r="A14" s="19" t="s">
        <v>65</v>
      </c>
      <c r="B14" s="24">
        <f>B13/Assumptions!B31</f>
        <v>7.382020250294435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11625087664.112276</v>
      </c>
    </row>
    <row r="18" spans="1:2" x14ac:dyDescent="0.25">
      <c r="A18" t="s">
        <v>60</v>
      </c>
      <c r="B18" s="18">
        <f>B17*Assumptions!B13</f>
        <v>129812918336.94977</v>
      </c>
    </row>
    <row r="19" spans="1:2" x14ac:dyDescent="0.25">
      <c r="A19" t="s">
        <v>61</v>
      </c>
      <c r="B19" s="18">
        <f>B18/(1+Assumptions!B26)^(5-0.5*Assumptions!B32)</f>
        <v>93142356021.47623</v>
      </c>
    </row>
    <row r="20" spans="1:2" x14ac:dyDescent="0.25">
      <c r="A20" t="s">
        <v>62</v>
      </c>
      <c r="B20" s="18">
        <f>Forecast!B17+B19</f>
        <v>121395468280.39651</v>
      </c>
    </row>
    <row r="21" spans="1:2" x14ac:dyDescent="0.25">
      <c r="A21" t="s">
        <v>63</v>
      </c>
      <c r="B21" s="18">
        <f>-Assumptions!B30</f>
        <v>6891457000</v>
      </c>
    </row>
    <row r="22" spans="1:2" x14ac:dyDescent="0.25">
      <c r="A22" t="s">
        <v>64</v>
      </c>
      <c r="B22" s="18">
        <f>B20+B21</f>
        <v>128286925280.39651</v>
      </c>
    </row>
    <row r="23" spans="1:2" x14ac:dyDescent="0.25">
      <c r="A23" s="19" t="s">
        <v>65</v>
      </c>
      <c r="B23" s="25">
        <f>B22/Assumptions!B31</f>
        <v>7.10462414191995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5.47</v>
      </c>
    </row>
    <row r="27" spans="1:3" x14ac:dyDescent="0.25">
      <c r="A27" t="s">
        <v>70</v>
      </c>
      <c r="B27" s="27">
        <v>1.1708</v>
      </c>
      <c r="C27" s="8" t="s">
        <v>71</v>
      </c>
    </row>
    <row r="28" spans="1:2" x14ac:dyDescent="0.25">
      <c r="A28" t="s">
        <v>72</v>
      </c>
      <c r="B28" s="28">
        <f>B14*B27</f>
        <v>8.642869309044725</v>
      </c>
    </row>
    <row r="29" spans="1:2" x14ac:dyDescent="0.25">
      <c r="A29" s="19" t="s">
        <v>73</v>
      </c>
      <c r="B29" s="12">
        <f>B28/B26-1</f>
        <v>0.5800492338290175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0.056559</v>
      </c>
      <c r="B5" s="31">
        <v>10.015190434026529</v>
      </c>
      <c r="C5" s="31">
        <v>10.737531710381358</v>
      </c>
      <c r="D5" s="31">
        <v>11.684038169628515</v>
      </c>
      <c r="E5" s="31">
        <v>12.981313891115295</v>
      </c>
      <c r="F5" s="31">
        <v>14.873411889062881</v>
      </c>
    </row>
    <row r="6" spans="1:6" x14ac:dyDescent="0.25">
      <c r="A6" s="30">
        <v>0.066559</v>
      </c>
      <c r="B6" s="31">
        <v>8.158994801210872</v>
      </c>
      <c r="C6" s="31">
        <v>8.543063792300812</v>
      </c>
      <c r="D6" s="31">
        <v>9.016112058776201</v>
      </c>
      <c r="E6" s="31">
        <v>9.61464741350889</v>
      </c>
      <c r="F6" s="31">
        <v>10.39831389857434</v>
      </c>
    </row>
    <row r="7" spans="1:6" x14ac:dyDescent="0.25">
      <c r="A7" s="30">
        <v>0.076559</v>
      </c>
      <c r="B7" s="31">
        <v>6.906164126012854</v>
      </c>
      <c r="C7" s="31">
        <v>7.124283358050679</v>
      </c>
      <c r="D7" s="32">
        <v>7.382051630231492</v>
      </c>
      <c r="E7" s="31">
        <v>7.69224274788068</v>
      </c>
      <c r="F7" s="31">
        <v>8.073777827531984</v>
      </c>
    </row>
    <row r="8" spans="1:6" x14ac:dyDescent="0.25">
      <c r="A8" s="30">
        <v>0.086559</v>
      </c>
      <c r="B8" s="31">
        <v>6.003736025429965</v>
      </c>
      <c r="C8" s="31">
        <v>6.131585422211342</v>
      </c>
      <c r="D8" s="31">
        <v>6.278069734156985</v>
      </c>
      <c r="E8" s="31">
        <v>6.448131123035385</v>
      </c>
      <c r="F8" s="31">
        <v>6.648628840461026</v>
      </c>
    </row>
    <row r="9" spans="1:6" x14ac:dyDescent="0.25">
      <c r="A9" s="30">
        <v>0.096559</v>
      </c>
      <c r="B9" s="31">
        <v>5.322812007117216</v>
      </c>
      <c r="C9" s="31">
        <v>5.398022755840494</v>
      </c>
      <c r="D9" s="31">
        <v>5.4819824396926276</v>
      </c>
      <c r="E9" s="31">
        <v>5.5766627533645385</v>
      </c>
      <c r="F9" s="31">
        <v>5.684675978525786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31834488000</v>
      </c>
      <c r="C5" s="18">
        <v>28866159000</v>
      </c>
      <c r="D5" s="18">
        <v>26199409000</v>
      </c>
      <c r="E5" s="18">
        <v>26026164000</v>
      </c>
      <c r="F5" s="8" t="s">
        <v>84</v>
      </c>
    </row>
    <row r="6" spans="1:6" x14ac:dyDescent="0.25">
      <c r="A6" t="s">
        <v>44</v>
      </c>
      <c r="B6" s="18">
        <v>6899933000</v>
      </c>
      <c r="C6" s="18">
        <v>6334492000</v>
      </c>
      <c r="D6" s="18">
        <v>6086401000</v>
      </c>
      <c r="E6" s="18">
        <v>5479804000</v>
      </c>
      <c r="F6" s="8" t="s">
        <v>85</v>
      </c>
    </row>
    <row r="7" spans="1:6" x14ac:dyDescent="0.25">
      <c r="A7" t="s">
        <v>86</v>
      </c>
      <c r="B7" s="18">
        <v>1211583000</v>
      </c>
      <c r="C7" s="18">
        <v>1321181000</v>
      </c>
      <c r="D7" s="18">
        <v>1074284000</v>
      </c>
      <c r="E7" s="18">
        <v>1046984000</v>
      </c>
      <c r="F7" s="8" t="s">
        <v>87</v>
      </c>
    </row>
    <row r="8" spans="1:6" x14ac:dyDescent="0.25">
      <c r="A8" t="s">
        <v>88</v>
      </c>
      <c r="B8" s="18">
        <v>1702929000</v>
      </c>
      <c r="C8" s="18">
        <v>1394160000</v>
      </c>
      <c r="D8" s="18">
        <v>1703709000</v>
      </c>
      <c r="E8" s="18">
        <v>1705612000</v>
      </c>
      <c r="F8" s="8" t="s">
        <v>89</v>
      </c>
    </row>
    <row r="9" spans="1:6" x14ac:dyDescent="0.25">
      <c r="A9" t="s">
        <v>90</v>
      </c>
      <c r="B9" s="18">
        <v>-2624498000</v>
      </c>
      <c r="C9" s="18">
        <v>-99839000</v>
      </c>
      <c r="D9" s="18">
        <v>430514000</v>
      </c>
      <c r="E9" s="18">
        <v>195595000</v>
      </c>
      <c r="F9" s="8" t="s">
        <v>91</v>
      </c>
    </row>
    <row r="10" spans="1:6" x14ac:dyDescent="0.25">
      <c r="A10" t="s">
        <v>92</v>
      </c>
      <c r="B10" s="18">
        <v>16070011000</v>
      </c>
      <c r="C10" s="18">
        <v>9710546000</v>
      </c>
      <c r="D10" s="18">
        <v>12580244000</v>
      </c>
      <c r="E10" s="18">
        <v>13981963000</v>
      </c>
      <c r="F10" s="8" t="s">
        <v>93</v>
      </c>
    </row>
    <row r="11" spans="1:6" x14ac:dyDescent="0.25">
      <c r="A11" t="s">
        <v>94</v>
      </c>
      <c r="B11" s="18">
        <v>22961468000</v>
      </c>
      <c r="C11" s="18">
        <v>14817911000</v>
      </c>
      <c r="D11" s="18">
        <v>14118175000</v>
      </c>
      <c r="E11" s="18">
        <v>16921663000</v>
      </c>
      <c r="F11" s="8" t="s">
        <v>95</v>
      </c>
    </row>
    <row r="12" spans="1:6" x14ac:dyDescent="0.25">
      <c r="A12" t="s">
        <v>32</v>
      </c>
      <c r="B12" s="34">
        <v>18056820842</v>
      </c>
      <c r="C12" s="34">
        <v>18295059997</v>
      </c>
      <c r="D12" s="34">
        <v>18575080430</v>
      </c>
      <c r="E12" s="34">
        <v>19017201976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2026-09-19T00:09:47Z</dcterms:modified>
</cp:coreProperties>
</file>