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<sst xmlns="http://schemas.openxmlformats.org/spreadsheetml/2006/main" count="113" uniqueCount="101">
  <si>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China Resources Mixc Lifestyle Services Limited (1209.HK)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</si>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</sst>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0.14465812906327913</v>
      </c>
    </row>
    <row r="7" spans="1:2" x14ac:dyDescent="0.25">
      <c r="A7" t="s">
        <v>5</v>
      </c>
      <c r="B7" s="6">
        <v>0.24739556065308335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0.01948641149482442</v>
      </c>
    </row>
    <row r="10" spans="1:2" x14ac:dyDescent="0.25">
      <c r="A10" t="s">
        <v>8</v>
      </c>
      <c r="B10" s="6">
        <v>0.021033440162942167</v>
      </c>
    </row>
    <row r="11" spans="1:2" x14ac:dyDescent="0.25">
      <c r="A11" t="s">
        <v>9</v>
      </c>
      <c r="B11" s="6">
        <v>0.025029691653946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14.378171103903563</v>
      </c>
    </row>
    <row r="14" spans="1:3" x14ac:dyDescent="0.25">
      <c r="A14" t="s">
        <v>12</v>
      </c>
      <c r="B14" s="6">
        <v>0.20343735413966368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0.81776</v>
      </c>
      <c r="C19" s="8" t="s">
        <v>19</v>
      </c>
    </row>
    <row r="20" spans="1:2" x14ac:dyDescent="0.25">
      <c r="A20" t="s">
        <v>20</v>
      </c>
      <c r="B20" s="10">
        <f>B17+B19*B18</f>
        <v>0.08924320000000001</v>
      </c>
    </row>
    <row r="21" spans="1:3" x14ac:dyDescent="0.25">
      <c r="A21" t="s">
        <v>21</v>
      </c>
      <c r="B21" s="6">
        <v>0.04905943008276273</v>
      </c>
      <c r="C21" s="8" t="s">
        <v>22</v>
      </c>
    </row>
    <row r="22" spans="1:2" x14ac:dyDescent="0.25">
      <c r="A22" t="s">
        <v>23</v>
      </c>
      <c r="B22" s="11">
        <v>85685059584</v>
      </c>
    </row>
    <row r="23" spans="1:2" x14ac:dyDescent="0.25">
      <c r="A23" t="s">
        <v>24</v>
      </c>
      <c r="B23" s="11">
        <v>2214922000</v>
      </c>
    </row>
    <row r="24" spans="1:2" x14ac:dyDescent="0.25">
      <c r="A24" t="s">
        <v>25</v>
      </c>
      <c r="B24" s="10">
        <f>B22/(B22+B23)</f>
        <v>0.974801792217859</v>
      </c>
    </row>
    <row r="25" spans="1:2" x14ac:dyDescent="0.25">
      <c r="A25" t="s">
        <v>26</v>
      </c>
      <c r="B25" s="10">
        <f>1-B24</f>
        <v>0.02519820778214099</v>
      </c>
    </row>
    <row r="26" spans="1:2" x14ac:dyDescent="0.25">
      <c r="A26" t="s">
        <v>27</v>
      </c>
      <c r="B26" s="12">
        <f>B24*B20+B25*B21*(1-B8)</f>
        <v>0.08802666641352741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18021618000</v>
      </c>
      <c r="C29" s="8" t="s">
        <v>30</v>
      </c>
    </row>
    <row r="30" spans="1:2" x14ac:dyDescent="0.25">
      <c r="A30" t="s">
        <v>31</v>
      </c>
      <c r="B30" s="11">
        <v>-7463711000</v>
      </c>
    </row>
    <row r="31" spans="1:2" x14ac:dyDescent="0.25">
      <c r="A31" t="s">
        <v>32</v>
      </c>
      <c r="B31" s="13">
        <v>2282500000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0.14465812906327913</v>
      </c>
      <c r="C5" s="10">
        <f>Assumptions!B6</f>
        <v>0.14465812906327913</v>
      </c>
      <c r="D5" s="10">
        <f>Assumptions!B6</f>
        <v>0.14465812906327913</v>
      </c>
      <c r="E5" s="10">
        <f>Assumptions!B6</f>
        <v>0.14465812906327913</v>
      </c>
      <c r="F5" s="10">
        <f>Assumptions!B6</f>
        <v>0.14465812906327913</v>
      </c>
    </row>
    <row r="6" spans="1:6" x14ac:dyDescent="0.25">
      <c r="A6" t="s">
        <v>43</v>
      </c>
      <c r="B6" s="18">
        <f>Assumptions!B29*(1+B5)</f>
        <v>20628591542.573112</v>
      </c>
      <c r="C6" s="18">
        <f>B6*(1+C5)</f>
        <v>23612685000.33232</v>
      </c>
      <c r="D6" s="18">
        <f>C6*(1+D5)</f>
        <v>27028451834.64095</v>
      </c>
      <c r="E6" s="18">
        <f>D6*(1+E5)</f>
        <v>30938337108.517063</v>
      </c>
      <c r="F6" s="18">
        <f>E6*(1+F5)</f>
        <v>35413819070.964165</v>
      </c>
    </row>
    <row r="7" spans="1:6" x14ac:dyDescent="0.25">
      <c r="A7" t="s">
        <v>5</v>
      </c>
      <c r="B7" s="10">
        <f>Assumptions!B7</f>
        <v>0.24739556065308335</v>
      </c>
      <c r="C7" s="10">
        <f>Assumptions!B7</f>
        <v>0.24739556065308335</v>
      </c>
      <c r="D7" s="10">
        <f>Assumptions!B7</f>
        <v>0.24739556065308335</v>
      </c>
      <c r="E7" s="10">
        <f>Assumptions!B7</f>
        <v>0.24739556065308335</v>
      </c>
      <c r="F7" s="10">
        <f>Assumptions!B7</f>
        <v>0.24739556065308335</v>
      </c>
    </row>
    <row r="8" spans="1:6" x14ac:dyDescent="0.25">
      <c r="A8" t="s">
        <v>44</v>
      </c>
      <c r="B8" s="18">
        <f>B6*B7</f>
        <v>5103421970.158329</v>
      </c>
      <c r="C8" s="18">
        <f>C6*C7</f>
        <v>5841673444.181867</v>
      </c>
      <c r="D8" s="18">
        <f>D6*D7</f>
        <v>6686718995.215857</v>
      </c>
      <c r="E8" s="18">
        <f>E6*E7</f>
        <v>7654007254.635673</v>
      </c>
      <c r="F8" s="18">
        <f>F6*F7</f>
        <v>8761221623.928036</v>
      </c>
    </row>
    <row r="9" spans="1:6" x14ac:dyDescent="0.25">
      <c r="A9" t="s">
        <v>45</v>
      </c>
      <c r="B9" s="18">
        <f>B8*(1-Assumptions!B8)</f>
        <v>4261357345.0822043</v>
      </c>
      <c r="C9" s="18">
        <f>C8*(1-Assumptions!B8)</f>
        <v>4877797325.891858</v>
      </c>
      <c r="D9" s="18">
        <f>D8*(1-Assumptions!B8)</f>
        <v>5583410361.00524</v>
      </c>
      <c r="E9" s="18">
        <f>E8*(1-Assumptions!B8)</f>
        <v>6391096057.620787</v>
      </c>
      <c r="F9" s="18">
        <f>F8*(1-Assumptions!B8)</f>
        <v>7315620055.97991</v>
      </c>
    </row>
    <row r="10" spans="1:6" x14ac:dyDescent="0.25">
      <c r="A10" t="s">
        <v>46</v>
      </c>
      <c r="B10" s="18">
        <f>B6*Assumptions!B9</f>
        <v>401977223.3572345</v>
      </c>
      <c r="C10" s="18">
        <f>C6*Assumptions!B9</f>
        <v>460126496.4141439</v>
      </c>
      <c r="D10" s="18">
        <f>D6*Assumptions!B9</f>
        <v>526687534.5178556</v>
      </c>
      <c r="E10" s="18">
        <f>E6*Assumptions!B9</f>
        <v>602877167.8621598</v>
      </c>
      <c r="F10" s="18">
        <f>F6*Assumptions!B9</f>
        <v>690088251.0200684</v>
      </c>
    </row>
    <row r="11" spans="1:6" x14ac:dyDescent="0.25">
      <c r="A11" t="s">
        <v>47</v>
      </c>
      <c r="B11" s="18">
        <f>-B6*Assumptions!B10</f>
        <v>-433890245.85648644</v>
      </c>
      <c r="C11" s="18">
        <f>-C6*Assumptions!B10</f>
        <v>-496655997.04089195</v>
      </c>
      <c r="D11" s="18">
        <f>-D6*Assumptions!B10</f>
        <v>-568501324.3608848</v>
      </c>
      <c r="E11" s="18">
        <f>-E6*Assumptions!B10</f>
        <v>-650739662.3129269</v>
      </c>
      <c r="F11" s="18">
        <f>-F6*Assumptions!B10</f>
        <v>-744874444.3703849</v>
      </c>
    </row>
    <row r="12" spans="1:6" x14ac:dyDescent="0.25">
      <c r="A12" t="s">
        <v>48</v>
      </c>
      <c r="B12" s="18">
        <f>-(B6-Assumptions!B29)*Assumptions!B11</f>
        <v>-65251743.92060027</v>
      </c>
      <c r="C12" s="18">
        <f>-(C6-B6)*Assumptions!B11</f>
        <v>-74690939.11427052</v>
      </c>
      <c r="D12" s="18">
        <f>-(D6-C6)*Assumptions!B11</f>
        <v>-85495590.62452023</v>
      </c>
      <c r="E12" s="18">
        <f>-(E6-D6)*Assumptions!B11</f>
        <v>-97863222.80742334</v>
      </c>
      <c r="F12" s="18">
        <f>-(F6-E6)*Assumptions!B11</f>
        <v>-112019933.52284808</v>
      </c>
    </row>
    <row r="13" spans="1:6" x14ac:dyDescent="0.25">
      <c r="A13" s="19" t="s">
        <v>49</v>
      </c>
      <c r="B13" s="20">
        <f>B9+B10+B11+B12</f>
        <v>4164192578.662352</v>
      </c>
      <c r="C13" s="20">
        <f>C9+C10+C11+C12</f>
        <v>4766576886.15084</v>
      </c>
      <c r="D13" s="20">
        <f>D9+D10+D11+D12</f>
        <v>5456100980.537691</v>
      </c>
      <c r="E13" s="20">
        <f>E9+E10+E11+E12</f>
        <v>6245370340.362596</v>
      </c>
      <c r="F13" s="20">
        <f>F9+F10+F11+F12</f>
        <v>7148813929.106745</v>
      </c>
    </row>
    <row r="14" spans="1:6" x14ac:dyDescent="0.25">
      <c r="A14" t="s">
        <v>50</v>
      </c>
      <c r="B14" s="21">
        <f>1/(1+Assumptions!$B$26)^(1-0.5*Assumptions!$B$32)</f>
        <v>0.9586944875357725</v>
      </c>
      <c r="C14" s="21">
        <f>1/(1+Assumptions!$B$26)^(2-0.5*Assumptions!$B$32)</f>
        <v>0.8811314254786845</v>
      </c>
      <c r="D14" s="21">
        <f>1/(1+Assumptions!$B$26)^(3-0.5*Assumptions!$B$32)</f>
        <v>0.809843593616291</v>
      </c>
      <c r="E14" s="21">
        <f>1/(1+Assumptions!$B$26)^(4-0.5*Assumptions!$B$32)</f>
        <v>0.7443232952054255</v>
      </c>
      <c r="F14" s="21">
        <f>1/(1+Assumptions!$B$26)^(5-0.5*Assumptions!$B$32)</f>
        <v>0.6841039086467848</v>
      </c>
    </row>
    <row r="15" spans="1:6" x14ac:dyDescent="0.25">
      <c r="A15" s="19" t="s">
        <v>51</v>
      </c>
      <c r="B15" s="20">
        <f>B13*B14</f>
        <v>3992188470.2009706</v>
      </c>
      <c r="C15" s="20">
        <f>C13*C14</f>
        <v>4199980686.347839</v>
      </c>
      <c r="D15" s="20">
        <f>D13*D14</f>
        <v>4418588425.212012</v>
      </c>
      <c r="E15" s="20">
        <f>E13*E14</f>
        <v>4648574631.516917</v>
      </c>
      <c r="F15" s="20">
        <f>F13*F14</f>
        <v>4890531551.090504</v>
      </c>
    </row>
    <row r="17" spans="1:2" x14ac:dyDescent="0.25">
      <c r="A17" s="22" t="s">
        <v>52</v>
      </c>
      <c r="B17" s="23">
        <f>SUM(B15:F15)</f>
        <v>22149863764.368244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7148813929.106745</v>
      </c>
    </row>
    <row r="5" spans="1:2" x14ac:dyDescent="0.25">
      <c r="A5" t="s">
        <v>56</v>
      </c>
      <c r="B5" s="18">
        <f>IF(Assumptions!$B$33=0,B4,B4-Forecast!F11-Forecast!F10-Forecast!F12)</f>
        <v>7569768983.924738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0.12288795293138259</v>
      </c>
    </row>
    <row r="7" spans="1:2" x14ac:dyDescent="0.25">
      <c r="A7" t="s">
        <v>58</v>
      </c>
      <c r="B7" s="18">
        <f>-MAX(Forecast!F9,0)*B6</f>
        <v>-930233414.597983</v>
      </c>
    </row>
    <row r="8" spans="1:2" x14ac:dyDescent="0.25">
      <c r="A8" t="s">
        <v>59</v>
      </c>
      <c r="B8" s="18">
        <f>IF(OR(Assumptions!$B$33=0,Assumptions!B12&lt;=0),B5,MAX(B5+B7,0))</f>
        <v>6639535569.326755</v>
      </c>
    </row>
    <row r="9" spans="1:2" x14ac:dyDescent="0.25">
      <c r="A9" t="s">
        <v>60</v>
      </c>
      <c r="B9" s="18">
        <f>B8*(1+Assumptions!B12)/(Assumptions!B26-Assumptions!B12)</f>
        <v>107978485073.41098</v>
      </c>
    </row>
    <row r="10" spans="1:2" x14ac:dyDescent="0.25">
      <c r="A10" t="s">
        <v>61</v>
      </c>
      <c r="B10" s="18">
        <f>B9/(1+Assumptions!B26)^(5-0.5*Assumptions!B32)</f>
        <v>73868503688.47896</v>
      </c>
    </row>
    <row r="11" spans="1:2" x14ac:dyDescent="0.25">
      <c r="A11" t="s">
        <v>62</v>
      </c>
      <c r="B11" s="18">
        <f>Forecast!B17+B10</f>
        <v>96018367452.8472</v>
      </c>
    </row>
    <row r="12" spans="1:2" x14ac:dyDescent="0.25">
      <c r="A12" t="s">
        <v>63</v>
      </c>
      <c r="B12" s="18">
        <f>-Assumptions!B30</f>
        <v>7463711000</v>
      </c>
    </row>
    <row r="13" spans="1:2" x14ac:dyDescent="0.25">
      <c r="A13" t="s">
        <v>64</v>
      </c>
      <c r="B13" s="18">
        <f>B11+B12</f>
        <v>103482078452.8472</v>
      </c>
    </row>
    <row r="14" spans="1:2" x14ac:dyDescent="0.25">
      <c r="A14" s="19" t="s">
        <v>65</v>
      </c>
      <c r="B14" s="24">
        <f>B13/Assumptions!B31</f>
        <v>45.33716471099549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9451309874.948105</v>
      </c>
    </row>
    <row r="18" spans="1:2" x14ac:dyDescent="0.25">
      <c r="A18" t="s">
        <v>60</v>
      </c>
      <c r="B18" s="18">
        <f>B17*Assumptions!B13</f>
        <v>135892550538.01724</v>
      </c>
    </row>
    <row r="19" spans="1:2" x14ac:dyDescent="0.25">
      <c r="A19" t="s">
        <v>61</v>
      </c>
      <c r="B19" s="18">
        <f>B18/(1+Assumptions!B26)^(5-0.5*Assumptions!B32)</f>
        <v>92964624979.03835</v>
      </c>
    </row>
    <row r="20" spans="1:2" x14ac:dyDescent="0.25">
      <c r="A20" t="s">
        <v>62</v>
      </c>
      <c r="B20" s="18">
        <f>Forecast!B17+B19</f>
        <v>115114488743.40659</v>
      </c>
    </row>
    <row r="21" spans="1:2" x14ac:dyDescent="0.25">
      <c r="A21" t="s">
        <v>63</v>
      </c>
      <c r="B21" s="18">
        <f>-Assumptions!B30</f>
        <v>7463711000</v>
      </c>
    </row>
    <row r="22" spans="1:2" x14ac:dyDescent="0.25">
      <c r="A22" t="s">
        <v>64</v>
      </c>
      <c r="B22" s="18">
        <f>B20+B21</f>
        <v>122578199743.40659</v>
      </c>
    </row>
    <row r="23" spans="1:2" x14ac:dyDescent="0.25">
      <c r="A23" s="19" t="s">
        <v>65</v>
      </c>
      <c r="B23" s="25">
        <f>B22/Assumptions!B31</f>
        <v>53.70348291058339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37.54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53.08075244363352</v>
      </c>
    </row>
    <row r="29" spans="1:2" x14ac:dyDescent="0.25">
      <c r="A29" s="19" t="s">
        <v>73</v>
      </c>
      <c r="B29" s="12">
        <f>B28/B26-1</f>
        <v>0.41397848810957716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0.068027</v>
      </c>
      <c r="B5" s="31">
        <v>57.185252478093204</v>
      </c>
      <c r="C5" s="31">
        <v>60.68812124514327</v>
      </c>
      <c r="D5" s="31">
        <v>64.99101144823771</v>
      </c>
      <c r="E5" s="31">
        <v>70.40949679923038</v>
      </c>
      <c r="F5" s="31">
        <v>77.45025145013247</v>
      </c>
    </row>
    <row r="6" spans="1:6" x14ac:dyDescent="0.25">
      <c r="A6" s="30">
        <v>0.078027</v>
      </c>
      <c r="B6" s="31">
        <v>48.4897632601606</v>
      </c>
      <c r="C6" s="31">
        <v>50.69663114786978</v>
      </c>
      <c r="D6" s="31">
        <v>53.30871541702934</v>
      </c>
      <c r="E6" s="31">
        <v>56.45257499744455</v>
      </c>
      <c r="F6" s="31">
        <v>60.313596499123875</v>
      </c>
    </row>
    <row r="7" spans="1:6" x14ac:dyDescent="0.25">
      <c r="A7" s="30">
        <v>0.088027</v>
      </c>
      <c r="B7" s="31">
        <v>42.18287382493613</v>
      </c>
      <c r="C7" s="31">
        <v>43.64809356461794</v>
      </c>
      <c r="D7" s="32">
        <v>45.33694103125421</v>
      </c>
      <c r="E7" s="31">
        <v>47.30722407126675</v>
      </c>
      <c r="F7" s="31">
        <v>49.638553705468425</v>
      </c>
    </row>
    <row r="8" spans="1:6" x14ac:dyDescent="0.25">
      <c r="A8" s="30">
        <v>0.098027</v>
      </c>
      <c r="B8" s="31">
        <v>37.401238108563945</v>
      </c>
      <c r="C8" s="31">
        <v>38.41080905844542</v>
      </c>
      <c r="D8" s="31">
        <v>39.551298542630306</v>
      </c>
      <c r="E8" s="31">
        <v>40.851574187422145</v>
      </c>
      <c r="F8" s="31">
        <v>42.34966401904947</v>
      </c>
    </row>
    <row r="9" spans="1:6" x14ac:dyDescent="0.25">
      <c r="A9" s="30">
        <v>0.108027</v>
      </c>
      <c r="B9" s="31">
        <v>33.652746692458116</v>
      </c>
      <c r="C9" s="31">
        <v>34.36733647784922</v>
      </c>
      <c r="D9" s="31">
        <v>35.161805919750414</v>
      </c>
      <c r="E9" s="31">
        <v>36.05151117497474</v>
      </c>
      <c r="F9" s="31">
        <v>37.056014011085544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18021618000</v>
      </c>
      <c r="C5" s="18">
        <v>17154410000</v>
      </c>
      <c r="D5" s="18">
        <v>14766952000</v>
      </c>
      <c r="E5" s="18">
        <v>12016179000</v>
      </c>
      <c r="F5" s="8" t="s">
        <v>84</v>
      </c>
    </row>
    <row r="6" spans="1:6" x14ac:dyDescent="0.25">
      <c r="A6" t="s">
        <v>44</v>
      </c>
      <c r="B6" s="18">
        <v>5101612000</v>
      </c>
      <c r="C6" s="18">
        <v>4361394000</v>
      </c>
      <c r="D6" s="18">
        <v>3555509000</v>
      </c>
      <c r="E6" s="18">
        <v>2541197000</v>
      </c>
      <c r="F6" s="8" t="s">
        <v>85</v>
      </c>
    </row>
    <row r="7" spans="1:6" x14ac:dyDescent="0.25">
      <c r="A7" t="s">
        <v>86</v>
      </c>
      <c r="B7" s="18">
        <v>338673000</v>
      </c>
      <c r="C7" s="18">
        <v>360550000</v>
      </c>
      <c r="D7" s="18">
        <v>274918000</v>
      </c>
      <c r="E7" s="18">
        <v>234532000</v>
      </c>
      <c r="F7" s="8" t="s">
        <v>87</v>
      </c>
    </row>
    <row r="8" spans="1:6" x14ac:dyDescent="0.25">
      <c r="A8" t="s">
        <v>88</v>
      </c>
      <c r="B8" s="18">
        <v>211148000</v>
      </c>
      <c r="C8" s="18">
        <v>393756000</v>
      </c>
      <c r="D8" s="18">
        <v>581674000</v>
      </c>
      <c r="E8" s="18">
        <v>121045000</v>
      </c>
      <c r="F8" s="8" t="s">
        <v>89</v>
      </c>
    </row>
    <row r="9" spans="1:6" x14ac:dyDescent="0.25">
      <c r="A9" t="s">
        <v>90</v>
      </c>
      <c r="B9" s="18">
        <v>37373000</v>
      </c>
      <c r="C9" s="18">
        <v>-477405000</v>
      </c>
      <c r="D9" s="18">
        <v>68851000</v>
      </c>
      <c r="E9" s="18">
        <v>236643000</v>
      </c>
      <c r="F9" s="8" t="s">
        <v>91</v>
      </c>
    </row>
    <row r="10" spans="1:6" x14ac:dyDescent="0.25">
      <c r="A10" t="s">
        <v>92</v>
      </c>
      <c r="B10" s="18">
        <v>2214922000</v>
      </c>
      <c r="C10" s="18">
        <v>2308612000</v>
      </c>
      <c r="D10" s="18">
        <v>2419109000</v>
      </c>
      <c r="E10" s="18">
        <v>2401717000</v>
      </c>
      <c r="F10" s="8" t="s">
        <v>93</v>
      </c>
    </row>
    <row r="11" spans="1:6" x14ac:dyDescent="0.25">
      <c r="A11" t="s">
        <v>94</v>
      </c>
      <c r="B11" s="18">
        <v>9678633000</v>
      </c>
      <c r="C11" s="18">
        <v>12309094000</v>
      </c>
      <c r="D11" s="18">
        <v>15632925000</v>
      </c>
      <c r="E11" s="18">
        <v>12592832000</v>
      </c>
      <c r="F11" s="8" t="s">
        <v>95</v>
      </c>
    </row>
    <row r="12" spans="1:6" x14ac:dyDescent="0.25">
      <c r="A12" t="s">
        <v>32</v>
      </c>
      <c r="B12" s="34">
        <v>2282500000</v>
      </c>
      <c r="C12" s="34">
        <v>2282500000</v>
      </c>
      <c r="D12" s="34">
        <v>2282500000</v>
      </c>
      <c r="E12" s="34">
        <v>2282500000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2026-09-19T00:09:37Z</dcterms:modified>
</cp:coreProperties>
</file>