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<sst xmlns="http://schemas.openxmlformats.org/spreadsheetml/2006/main" count="114" uniqueCount="102">
  <si>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China Hongqiao Group Limited (1378.HK)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</si>
  <si>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</si>
  <si>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</si>
  <si>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</si>
  <si>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</si>
  <si>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</si>
  <si>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</si>
  <si>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</si>
  <si>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</si>
  <si>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</si>
  <si>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</si>
  <si>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</si>
  <si>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</si>
  <si>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</si>
  <si>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</si>
  <si>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</si>
  <si>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</si>
  <si>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</si>
  <si>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</si>
  <si>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</si>
  <si>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</si>
  <si>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</si>
  <si>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</si>
  <si>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</si>
  <si>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</si>
  <si>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</si>
  <si>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</si>
  <si>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</si>
  <si>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</si>
  <si>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</si>
  <si>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</si>
  <si>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</si>
  <si>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</si>
  <si>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</si>
  <si>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</si>
  <si>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</si>
  <si>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</si>
  <si>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</si>
  <si>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</si>
  <si>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</si>
  <si>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</si>
  <si>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</si>
  <si>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</si>
  <si>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</si>
  <si>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</si>
  <si>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</si>
  <si>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</si>
  <si>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</si>
  <si>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</si>
  <si>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</si>
  <si>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</si>
  <si>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</si>
  <si>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</si>
  <si>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</si>
  <si>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</si>
  <si>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</si>
  <si>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</si>
  <si>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</si>
  <si>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</si>
  <si>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</si>
  <si>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</si>
  <si>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</si>
  <si>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</si>
  <si>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</si>
  <si>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</si>
  <si>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</si>
  <si>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</si>
  <si>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</si>
  <si>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</si>
  <si>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</si>
  <si>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</si>
  <si>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</si>
  <si>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</si>
  <si>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</si>
  <si>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</si>
  <si>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</si>
  <si>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</si>
  <si>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</si>
  <si>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</si>
  <si>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</si>
  <si>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</si>
  <si>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</si>
  <si>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</si>
  <si>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</si>
  <si>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</si>
  <si>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</si>
  <si>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</si>
  <si>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</si>
  <si>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</si>
  <si>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</si>
  <si>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</si>
  <si>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</si>
  <si>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</si>
  <si>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</si>
  <si>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</si>
  <si>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</si>
  <si>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</si>
  <si>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</si>
  <si>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</si>
  <si>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7.1% of revenue against depreciation of 4.8%.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</si>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</sst>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0.07224194076868717</v>
      </c>
    </row>
    <row r="7" spans="1:2" x14ac:dyDescent="0.25">
      <c r="A7" t="s">
        <v>5</v>
      </c>
      <c r="B7" s="6">
        <v>0.179008228521652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0.04798746822732038</v>
      </c>
    </row>
    <row r="10" spans="1:2" x14ac:dyDescent="0.25">
      <c r="A10" t="s">
        <v>8</v>
      </c>
      <c r="B10" s="6">
        <v>0.07083119739966098</v>
      </c>
    </row>
    <row r="11" spans="1:2" x14ac:dyDescent="0.25">
      <c r="A11" t="s">
        <v>9</v>
      </c>
      <c r="B11" s="6">
        <v>0.19776414268154555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5.215584482034578</v>
      </c>
    </row>
    <row r="14" spans="1:3" x14ac:dyDescent="0.25">
      <c r="A14" t="s">
        <v>12</v>
      </c>
      <c r="B14" s="6">
        <v>0.12364893177210248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0.93769</v>
      </c>
      <c r="C19" s="8" t="s">
        <v>19</v>
      </c>
    </row>
    <row r="20" spans="1:2" x14ac:dyDescent="0.25">
      <c r="A20" t="s">
        <v>20</v>
      </c>
      <c r="B20" s="10">
        <f>B17+B19*B18</f>
        <v>0.09763830000000001</v>
      </c>
    </row>
    <row r="21" spans="1:3" x14ac:dyDescent="0.25">
      <c r="A21" t="s">
        <v>21</v>
      </c>
      <c r="B21" s="6">
        <v>0.04825463308752632</v>
      </c>
      <c r="C21" s="8" t="s">
        <v>22</v>
      </c>
    </row>
    <row r="22" spans="1:2" x14ac:dyDescent="0.25">
      <c r="A22" t="s">
        <v>23</v>
      </c>
      <c r="B22" s="11">
        <v>217205096448</v>
      </c>
    </row>
    <row r="23" spans="1:2" x14ac:dyDescent="0.25">
      <c r="A23" t="s">
        <v>24</v>
      </c>
      <c r="B23" s="11">
        <v>72527789000</v>
      </c>
    </row>
    <row r="24" spans="1:2" x14ac:dyDescent="0.25">
      <c r="A24" t="s">
        <v>25</v>
      </c>
      <c r="B24" s="10">
        <f>B22/(B22+B23)</f>
        <v>0.749673604058256</v>
      </c>
    </row>
    <row r="25" spans="1:2" x14ac:dyDescent="0.25">
      <c r="A25" t="s">
        <v>26</v>
      </c>
      <c r="B25" s="10">
        <f>1-B24</f>
        <v>0.250326395941744</v>
      </c>
    </row>
    <row r="26" spans="1:2" x14ac:dyDescent="0.25">
      <c r="A26" t="s">
        <v>27</v>
      </c>
      <c r="B26" s="12">
        <f>B24*B20+B25*B21*(1-B8)</f>
        <v>0.08328316225934479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162353725000</v>
      </c>
      <c r="C29" s="8" t="s">
        <v>30</v>
      </c>
    </row>
    <row r="30" spans="1:2" x14ac:dyDescent="0.25">
      <c r="A30" t="s">
        <v>31</v>
      </c>
      <c r="B30" s="11">
        <v>13465951000</v>
      </c>
    </row>
    <row r="31" spans="1:2" x14ac:dyDescent="0.25">
      <c r="A31" t="s">
        <v>32</v>
      </c>
      <c r="B31" s="13">
        <v>9494025000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0.07224194076868717</v>
      </c>
      <c r="C5" s="10">
        <f>Assumptions!B6</f>
        <v>0.07224194076868717</v>
      </c>
      <c r="D5" s="10">
        <f>Assumptions!B6</f>
        <v>0.07224194076868717</v>
      </c>
      <c r="E5" s="10">
        <f>Assumptions!B6</f>
        <v>0.07224194076868717</v>
      </c>
      <c r="F5" s="10">
        <f>Assumptions!B6</f>
        <v>0.07224194076868717</v>
      </c>
    </row>
    <row r="6" spans="1:6" x14ac:dyDescent="0.25">
      <c r="A6" t="s">
        <v>43</v>
      </c>
      <c r="B6" s="18">
        <f>Assumptions!B29*(1+B5)</f>
        <v>174082473185.02573</v>
      </c>
      <c r="C6" s="18">
        <f>B6*(1+C5)</f>
        <v>186658528901.7249</v>
      </c>
      <c r="D6" s="18">
        <f>C6*(1+D5)</f>
        <v>200143103290.61362</v>
      </c>
      <c r="E6" s="18">
        <f>D6*(1+E5)</f>
        <v>214601829503.79538</v>
      </c>
      <c r="F6" s="18">
        <f>E6*(1+F5)</f>
        <v>230105082159.66046</v>
      </c>
    </row>
    <row r="7" spans="1:6" x14ac:dyDescent="0.25">
      <c r="A7" t="s">
        <v>5</v>
      </c>
      <c r="B7" s="10">
        <f>Assumptions!B7</f>
        <v>0.179008228521652</v>
      </c>
      <c r="C7" s="10">
        <f>Assumptions!B7</f>
        <v>0.179008228521652</v>
      </c>
      <c r="D7" s="10">
        <f>Assumptions!B7</f>
        <v>0.179008228521652</v>
      </c>
      <c r="E7" s="10">
        <f>Assumptions!B7</f>
        <v>0.179008228521652</v>
      </c>
      <c r="F7" s="10">
        <f>Assumptions!B7</f>
        <v>0.179008228521652</v>
      </c>
    </row>
    <row r="8" spans="1:6" x14ac:dyDescent="0.25">
      <c r="A8" t="s">
        <v>44</v>
      </c>
      <c r="B8" s="18">
        <f>B6*B7</f>
        <v>31162195141.51944</v>
      </c>
      <c r="C8" s="18">
        <f>C6*C7</f>
        <v>33413412597.155357</v>
      </c>
      <c r="D8" s="18">
        <f>D6*D7</f>
        <v>35827262370.87876</v>
      </c>
      <c r="E8" s="18">
        <f>E6*E7</f>
        <v>38415493336.98</v>
      </c>
      <c r="F8" s="18">
        <f>F6*F7</f>
        <v>41190703131.23</v>
      </c>
    </row>
    <row r="9" spans="1:6" x14ac:dyDescent="0.25">
      <c r="A9" t="s">
        <v>45</v>
      </c>
      <c r="B9" s="18">
        <f>B8*(1-Assumptions!B8)</f>
        <v>26020432943.16873</v>
      </c>
      <c r="C9" s="18">
        <f>C8*(1-Assumptions!B8)</f>
        <v>27900199518.62472</v>
      </c>
      <c r="D9" s="18">
        <f>D8*(1-Assumptions!B8)</f>
        <v>29915764079.683765</v>
      </c>
      <c r="E9" s="18">
        <f>E8*(1-Assumptions!B8)</f>
        <v>32076936936.3783</v>
      </c>
      <c r="F9" s="18">
        <f>F8*(1-Assumptions!B8)</f>
        <v>34394237114.57705</v>
      </c>
    </row>
    <row r="10" spans="1:6" x14ac:dyDescent="0.25">
      <c r="A10" t="s">
        <v>46</v>
      </c>
      <c r="B10" s="18">
        <f>B6*Assumptions!B9</f>
        <v>8353777150.899775</v>
      </c>
      <c r="C10" s="18">
        <f>C6*Assumptions!B9</f>
        <v>8957270225.029888</v>
      </c>
      <c r="D10" s="18">
        <f>D6*Assumptions!B9</f>
        <v>9604360810.075623</v>
      </c>
      <c r="E10" s="18">
        <f>E6*Assumptions!B9</f>
        <v>10298198474.838207</v>
      </c>
      <c r="F10" s="18">
        <f>F6*Assumptions!B9</f>
        <v>11042160319.081654</v>
      </c>
    </row>
    <row r="11" spans="1:6" x14ac:dyDescent="0.25">
      <c r="A11" t="s">
        <v>47</v>
      </c>
      <c r="B11" s="18">
        <f>-B6*Assumptions!B10</f>
        <v>-12330470021.989748</v>
      </c>
      <c r="C11" s="18">
        <f>-C6*Assumptions!B10</f>
        <v>-13221247106.968403</v>
      </c>
      <c r="D11" s="18">
        <f>-D6*Assumptions!B10</f>
        <v>-14176375657.35819</v>
      </c>
      <c r="E11" s="18">
        <f>-E6*Assumptions!B10</f>
        <v>-15200504547.91172</v>
      </c>
      <c r="F11" s="18">
        <f>-F6*Assumptions!B10</f>
        <v>-16298618497.11612</v>
      </c>
    </row>
    <row r="12" spans="1:6" x14ac:dyDescent="0.25">
      <c r="A12" t="s">
        <v>48</v>
      </c>
      <c r="B12" s="18">
        <f>-(B6-Assumptions!B29)*Assumptions!B11</f>
        <v>-2319525829.539346</v>
      </c>
      <c r="C12" s="18">
        <f>-(C6-B6)*Assumptions!B11</f>
        <v>-2487092877.1283646</v>
      </c>
      <c r="D12" s="18">
        <f>-(D6-C6)*Assumptions!B11</f>
        <v>-2666765293.4441004</v>
      </c>
      <c r="E12" s="18">
        <f>-(E6-D6)*Assumptions!B11</f>
        <v>-2859417593.817081</v>
      </c>
      <c r="F12" s="18">
        <f>-(F6-E6)*Assumptions!B11</f>
        <v>-3065987470.262552</v>
      </c>
    </row>
    <row r="13" spans="1:6" x14ac:dyDescent="0.25">
      <c r="A13" s="19" t="s">
        <v>49</v>
      </c>
      <c r="B13" s="20">
        <f>B9+B10+B11+B12</f>
        <v>19724214242.539413</v>
      </c>
      <c r="C13" s="20">
        <f>C9+C10+C11+C12</f>
        <v>21149129759.557842</v>
      </c>
      <c r="D13" s="20">
        <f>D9+D10+D11+D12</f>
        <v>22676983938.957092</v>
      </c>
      <c r="E13" s="20">
        <f>E9+E10+E11+E12</f>
        <v>24315213269.487705</v>
      </c>
      <c r="F13" s="20">
        <f>F9+F10+F11+F12</f>
        <v>26071791466.280037</v>
      </c>
    </row>
    <row r="14" spans="1:6" x14ac:dyDescent="0.25">
      <c r="A14" t="s">
        <v>50</v>
      </c>
      <c r="B14" s="21">
        <f>1/(1+Assumptions!$B$26)^(1-0.5*Assumptions!$B$32)</f>
        <v>0.960791171053467</v>
      </c>
      <c r="C14" s="21">
        <f>1/(1+Assumptions!$B$26)^(2-0.5*Assumptions!$B$32)</f>
        <v>0.8869252329645713</v>
      </c>
      <c r="D14" s="21">
        <f>1/(1+Assumptions!$B$26)^(3-0.5*Assumptions!$B$32)</f>
        <v>0.8187381322485984</v>
      </c>
      <c r="E14" s="21">
        <f>1/(1+Assumptions!$B$26)^(4-0.5*Assumptions!$B$32)</f>
        <v>0.7557932780391423</v>
      </c>
      <c r="F14" s="21">
        <f>1/(1+Assumptions!$B$26)^(5-0.5*Assumptions!$B$32)</f>
        <v>0.6976876447177719</v>
      </c>
    </row>
    <row r="15" spans="1:6" x14ac:dyDescent="0.25">
      <c r="A15" s="19" t="s">
        <v>51</v>
      </c>
      <c r="B15" s="20">
        <f>B13*B14</f>
        <v>18950850900.198917</v>
      </c>
      <c r="C15" s="20">
        <f>C13*C14</f>
        <v>18757696838.993786</v>
      </c>
      <c r="D15" s="20">
        <f>D13*D14</f>
        <v>18566511475.213192</v>
      </c>
      <c r="E15" s="20">
        <f>E13*E14</f>
        <v>18377274743.166965</v>
      </c>
      <c r="F15" s="20">
        <f>F13*F14</f>
        <v>18189966781.681824</v>
      </c>
    </row>
    <row r="17" spans="1:2" x14ac:dyDescent="0.25">
      <c r="A17" s="22" t="s">
        <v>52</v>
      </c>
      <c r="B17" s="23">
        <f>SUM(B15:F15)</f>
        <v>92842300739.25468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26071791466.280037</v>
      </c>
    </row>
    <row r="5" spans="1:2" x14ac:dyDescent="0.25">
      <c r="A5" t="s">
        <v>56</v>
      </c>
      <c r="B5" s="18">
        <f>IF(Assumptions!$B$33=0,B4,B4-Forecast!F11-Forecast!F10-Forecast!F12)</f>
        <v>34404698109.30553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0.2021853293975684</v>
      </c>
    </row>
    <row r="7" spans="1:2" x14ac:dyDescent="0.25">
      <c r="A7" t="s">
        <v>58</v>
      </c>
      <c r="B7" s="18">
        <f>-MAX(Forecast!F9,0)*B6</f>
        <v>-6956125220.053837</v>
      </c>
    </row>
    <row r="8" spans="1:2" x14ac:dyDescent="0.25">
      <c r="A8" t="s">
        <v>59</v>
      </c>
      <c r="B8" s="18">
        <f>IF(OR(Assumptions!$B$33=0,Assumptions!B12&lt;=0),B5,MAX(B5+B7,0))</f>
        <v>27448572889.25169</v>
      </c>
    </row>
    <row r="9" spans="1:2" x14ac:dyDescent="0.25">
      <c r="A9" t="s">
        <v>60</v>
      </c>
      <c r="B9" s="18">
        <f>B8*(1+Assumptions!B12)/(Assumptions!B26-Assumptions!B12)</f>
        <v>482725818587.03125</v>
      </c>
    </row>
    <row r="10" spans="1:2" x14ac:dyDescent="0.25">
      <c r="A10" t="s">
        <v>61</v>
      </c>
      <c r="B10" s="18">
        <f>B9/(1+Assumptions!B26)^(5-0.5*Assumptions!B32)</f>
        <v>336791839414.4443</v>
      </c>
    </row>
    <row r="11" spans="1:2" x14ac:dyDescent="0.25">
      <c r="A11" t="s">
        <v>62</v>
      </c>
      <c r="B11" s="18">
        <f>Forecast!B17+B10</f>
        <v>429634140153.699</v>
      </c>
    </row>
    <row r="12" spans="1:2" x14ac:dyDescent="0.25">
      <c r="A12" t="s">
        <v>63</v>
      </c>
      <c r="B12" s="18">
        <f>-Assumptions!B30</f>
        <v>-13465951000</v>
      </c>
    </row>
    <row r="13" spans="1:2" x14ac:dyDescent="0.25">
      <c r="A13" t="s">
        <v>64</v>
      </c>
      <c r="B13" s="18">
        <f>B11+B12</f>
        <v>416168189153.699</v>
      </c>
    </row>
    <row r="14" spans="1:2" x14ac:dyDescent="0.25">
      <c r="A14" s="19" t="s">
        <v>65</v>
      </c>
      <c r="B14" s="24">
        <f>B13/Assumptions!B31</f>
        <v>43.8347475547725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52232863450.31166</v>
      </c>
    </row>
    <row r="18" spans="1:2" x14ac:dyDescent="0.25">
      <c r="A18" t="s">
        <v>60</v>
      </c>
      <c r="B18" s="18">
        <f>B17*Assumptions!B13</f>
        <v>272424912063.6766</v>
      </c>
    </row>
    <row r="19" spans="1:2" x14ac:dyDescent="0.25">
      <c r="A19" t="s">
        <v>61</v>
      </c>
      <c r="B19" s="18">
        <f>B18/(1+Assumptions!B26)^(5-0.5*Assumptions!B32)</f>
        <v>190067495260.15265</v>
      </c>
    </row>
    <row r="20" spans="1:2" x14ac:dyDescent="0.25">
      <c r="A20" t="s">
        <v>62</v>
      </c>
      <c r="B20" s="18">
        <f>Forecast!B17+B19</f>
        <v>282909795999.40735</v>
      </c>
    </row>
    <row r="21" spans="1:2" x14ac:dyDescent="0.25">
      <c r="A21" t="s">
        <v>63</v>
      </c>
      <c r="B21" s="18">
        <f>-Assumptions!B30</f>
        <v>-13465951000</v>
      </c>
    </row>
    <row r="22" spans="1:2" x14ac:dyDescent="0.25">
      <c r="A22" t="s">
        <v>64</v>
      </c>
      <c r="B22" s="18">
        <f>B20+B21</f>
        <v>269443844999.40735</v>
      </c>
    </row>
    <row r="23" spans="1:2" x14ac:dyDescent="0.25">
      <c r="A23" s="19" t="s">
        <v>65</v>
      </c>
      <c r="B23" s="25">
        <f>B22/Assumptions!B31</f>
        <v>28.380359752518807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22.12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51.32172243712765</v>
      </c>
    </row>
    <row r="29" spans="1:2" x14ac:dyDescent="0.25">
      <c r="A29" s="19" t="s">
        <v>73</v>
      </c>
      <c r="B29" s="12">
        <f>B28/B26-1</f>
        <v>1.3201502005934742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0.063283</v>
      </c>
      <c r="B5" s="31">
        <v>59.61388104189791</v>
      </c>
      <c r="C5" s="31">
        <v>63.13979042119767</v>
      </c>
      <c r="D5" s="31">
        <v>67.55766993587802</v>
      </c>
      <c r="E5" s="31">
        <v>73.26951315715283</v>
      </c>
      <c r="F5" s="31">
        <v>80.96157881284148</v>
      </c>
    </row>
    <row r="6" spans="1:6" x14ac:dyDescent="0.25">
      <c r="A6" s="30">
        <v>0.073283</v>
      </c>
      <c r="B6" s="31">
        <v>48.92682975710246</v>
      </c>
      <c r="C6" s="31">
        <v>50.88889168689514</v>
      </c>
      <c r="D6" s="31">
        <v>53.23524371840615</v>
      </c>
      <c r="E6" s="31">
        <v>56.09906403997223</v>
      </c>
      <c r="F6" s="31">
        <v>59.683106467930216</v>
      </c>
    </row>
    <row r="7" spans="1:6" x14ac:dyDescent="0.25">
      <c r="A7" s="30">
        <v>0.083283</v>
      </c>
      <c r="B7" s="31">
        <v>41.38372214597598</v>
      </c>
      <c r="C7" s="31">
        <v>42.52054282246878</v>
      </c>
      <c r="D7" s="32">
        <v>43.834873856893736</v>
      </c>
      <c r="E7" s="31">
        <v>45.37668719844636</v>
      </c>
      <c r="F7" s="31">
        <v>47.216654400404494</v>
      </c>
    </row>
    <row r="8" spans="1:6" x14ac:dyDescent="0.25">
      <c r="A8" s="30">
        <v>0.093283</v>
      </c>
      <c r="B8" s="31">
        <v>35.77904684847834</v>
      </c>
      <c r="C8" s="31">
        <v>36.44481642376328</v>
      </c>
      <c r="D8" s="31">
        <v>37.19372144890948</v>
      </c>
      <c r="E8" s="31">
        <v>38.04546755967884</v>
      </c>
      <c r="F8" s="31">
        <v>39.02652244449419</v>
      </c>
    </row>
    <row r="9" spans="1:6" x14ac:dyDescent="0.25">
      <c r="A9" s="30">
        <v>0.103283</v>
      </c>
      <c r="B9" s="31">
        <v>31.453534074587573</v>
      </c>
      <c r="C9" s="31">
        <v>31.83544063774662</v>
      </c>
      <c r="D9" s="31">
        <v>32.25410471682656</v>
      </c>
      <c r="E9" s="31">
        <v>32.71705005865565</v>
      </c>
      <c r="F9" s="31">
        <v>33.23400410551436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162353725000</v>
      </c>
      <c r="C5" s="18">
        <v>156168720000</v>
      </c>
      <c r="D5" s="18">
        <v>133623632000</v>
      </c>
      <c r="E5" s="18">
        <v>131699427000</v>
      </c>
      <c r="F5" s="8" t="s">
        <v>84</v>
      </c>
    </row>
    <row r="6" spans="1:6" x14ac:dyDescent="0.25">
      <c r="A6" t="s">
        <v>44</v>
      </c>
      <c r="B6" s="18">
        <v>37191695000</v>
      </c>
      <c r="C6" s="18">
        <v>37953701000</v>
      </c>
      <c r="D6" s="18">
        <v>17679143000</v>
      </c>
      <c r="E6" s="18">
        <v>14700174000</v>
      </c>
      <c r="F6" s="8" t="s">
        <v>85</v>
      </c>
    </row>
    <row r="7" spans="1:6" x14ac:dyDescent="0.25">
      <c r="A7" t="s">
        <v>86</v>
      </c>
      <c r="B7" s="18">
        <v>7035572000</v>
      </c>
      <c r="C7" s="18">
        <v>6568010000</v>
      </c>
      <c r="D7" s="18">
        <v>7186035000</v>
      </c>
      <c r="E7" s="18">
        <v>6951059000</v>
      </c>
      <c r="F7" s="8" t="s">
        <v>87</v>
      </c>
    </row>
    <row r="8" spans="1:6" x14ac:dyDescent="0.25">
      <c r="A8" t="s">
        <v>88</v>
      </c>
      <c r="B8" s="18">
        <v>11152905000</v>
      </c>
      <c r="C8" s="18">
        <v>12829718000</v>
      </c>
      <c r="D8" s="18">
        <v>7270770000</v>
      </c>
      <c r="E8" s="18">
        <v>10281044000</v>
      </c>
      <c r="F8" s="8" t="s">
        <v>89</v>
      </c>
    </row>
    <row r="9" spans="1:6" x14ac:dyDescent="0.25">
      <c r="A9" t="s">
        <v>90</v>
      </c>
      <c r="B9" s="18">
        <v>-5359819000</v>
      </c>
      <c r="C9" s="18">
        <v>4458610000</v>
      </c>
      <c r="D9" s="18">
        <v>982874000</v>
      </c>
      <c r="E9" s="18">
        <v>8659971000</v>
      </c>
      <c r="F9" s="8" t="s">
        <v>91</v>
      </c>
    </row>
    <row r="10" spans="1:6" x14ac:dyDescent="0.25">
      <c r="A10" t="s">
        <v>92</v>
      </c>
      <c r="B10" s="18">
        <v>72527789000</v>
      </c>
      <c r="C10" s="18">
        <v>71842514000</v>
      </c>
      <c r="D10" s="18">
        <v>63864424000</v>
      </c>
      <c r="E10" s="18">
        <v>59737809000</v>
      </c>
      <c r="F10" s="8" t="s">
        <v>93</v>
      </c>
    </row>
    <row r="11" spans="1:6" x14ac:dyDescent="0.25">
      <c r="A11" t="s">
        <v>94</v>
      </c>
      <c r="B11" s="18">
        <v>59061838000</v>
      </c>
      <c r="C11" s="18">
        <v>44770241000</v>
      </c>
      <c r="D11" s="18">
        <v>31721122000</v>
      </c>
      <c r="E11" s="18">
        <v>27384542000</v>
      </c>
      <c r="F11" s="8" t="s">
        <v>95</v>
      </c>
    </row>
    <row r="12" spans="1:6" x14ac:dyDescent="0.25">
      <c r="A12" t="s">
        <v>32</v>
      </c>
      <c r="B12" s="34">
        <v>9494025000</v>
      </c>
      <c r="C12" s="34">
        <v>9475538000</v>
      </c>
      <c r="D12" s="34">
        <v>9800707000</v>
      </c>
      <c r="E12" s="34">
        <v>9299172000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2026-09-19T01:06:43Z</dcterms:modified>
</cp:coreProperties>
</file>