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<sst xmlns="http://schemas.openxmlformats.org/spreadsheetml/2006/main" count="116" uniqueCount="104">
  <si>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Industrial and Commercial Bank of China Limited (1398.HK)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</si>
  <si>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</si>
  <si>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</si>
  <si>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</si>
  <si>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</si>
  <si>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</si>
  <si>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</si>
  <si>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</si>
  <si>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</si>
  <si>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</si>
  <si>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</si>
  <si>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</si>
  <si>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</si>
  <si>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</si>
  <si>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</si>
  <si>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</si>
  <si>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</si>
  <si>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</si>
  <si>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</si>
  <si>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</si>
  <si>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</si>
  <si>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</si>
  <si>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26.0% is not a credible funding cost, so risk-free + 2bp is assumed instead. Interest expense and reported debt are measuring different things - common for banks, whose interest expense includes deposits that total debt excludes.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</si>
  <si>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</si>
  <si>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</si>
  <si>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</si>
  <si>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</si>
  <si>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</si>
  <si>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</si>
  <si>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</si>
  <si>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</si>
  <si>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</si>
  <si>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</si>
  <si>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</si>
  <si>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</si>
  <si>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</si>
  <si>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</si>
  <si>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</si>
  <si>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</si>
  <si>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</si>
  <si>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</si>
  <si>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</si>
  <si>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</si>
  <si>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</si>
  <si>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</si>
  <si>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</si>
  <si>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</si>
  <si>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</si>
  <si>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</si>
  <si>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</si>
  <si>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</si>
  <si>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</si>
  <si>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</si>
  <si>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</si>
  <si>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</si>
  <si>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</si>
  <si>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</si>
  <si>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</si>
  <si>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</si>
  <si>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</si>
  <si>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</si>
  <si>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</si>
  <si>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</si>
  <si>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</si>
  <si>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</si>
  <si>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</si>
  <si>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</si>
  <si>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</si>
  <si>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</si>
  <si>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</si>
  <si>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</si>
  <si>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</si>
  <si>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</si>
  <si>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</si>
  <si>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</si>
  <si>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</si>
  <si>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</si>
  <si>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</si>
  <si>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</si>
  <si>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</si>
  <si>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</si>
  <si>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</si>
  <si>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</si>
  <si>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</si>
  <si>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</si>
  <si>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</si>
  <si>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</si>
  <si>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</si>
  <si>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</si>
  <si>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</si>
  <si>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</si>
  <si>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</si>
  <si>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</si>
  <si>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</si>
  <si>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</si>
  <si>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</si>
  <si>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</si>
  <si>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</si>
  <si>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</si>
  <si>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</si>
  <si>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CNY, trades in HKD. Modelled in CNY, converted at the end.</t>
  </si>
  <si>
    <t>Note: Risk-free rate is an assumption: HKD assumption - no free live source available for this market.</t>
  </si>
  <si>
    <t>Current EV/EBITDA of 0.3x sits outside a defensible 3-20x band, so the exit multiple is capped at 3.0x. A multiple that far out usually means EBITDA is the wrong denominator for this business.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</si>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</sst>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-0.014691365836743131</v>
      </c>
    </row>
    <row r="7" spans="1:2" x14ac:dyDescent="0.25">
      <c r="A7" t="s">
        <v>5</v>
      </c>
      <c r="B7" s="6">
        <v>0.5040750273088447</v>
      </c>
    </row>
    <row r="8" spans="1:2" x14ac:dyDescent="0.25">
      <c r="A8" t="s">
        <v>6</v>
      </c>
      <c r="B8" s="6">
        <v>0.13241479684474597</v>
      </c>
    </row>
    <row r="9" spans="1:2" x14ac:dyDescent="0.25">
      <c r="A9" t="s">
        <v>7</v>
      </c>
      <c r="B9" s="6">
        <v>0.04104070488903318</v>
      </c>
    </row>
    <row r="10" spans="1:2" x14ac:dyDescent="0.25">
      <c r="A10" t="s">
        <v>8</v>
      </c>
      <c r="B10" s="6">
        <v>0.030612804554891942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</v>
      </c>
    </row>
    <row r="14" spans="1:3" x14ac:dyDescent="0.25">
      <c r="A14" t="s">
        <v>12</v>
      </c>
      <c r="B14" s="6">
        <v>0.061596034405290684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0.42580999999999997</v>
      </c>
      <c r="C19" s="8" t="s">
        <v>19</v>
      </c>
    </row>
    <row r="20" spans="1:2" x14ac:dyDescent="0.25">
      <c r="A20" t="s">
        <v>20</v>
      </c>
      <c r="B20" s="10">
        <f>B17+B19*B18</f>
        <v>0.061806700000000006</v>
      </c>
    </row>
    <row r="21" spans="1:3" x14ac:dyDescent="0.25">
      <c r="A21" t="s">
        <v>21</v>
      </c>
      <c r="B21" s="6">
        <v>0.052000000000000005</v>
      </c>
      <c r="C21" s="8" t="s">
        <v>22</v>
      </c>
    </row>
    <row r="22" spans="1:2" x14ac:dyDescent="0.25">
      <c r="A22" t="s">
        <v>23</v>
      </c>
      <c r="B22" s="11">
        <v>2673046978560</v>
      </c>
    </row>
    <row r="23" spans="1:2" x14ac:dyDescent="0.25">
      <c r="A23" t="s">
        <v>24</v>
      </c>
      <c r="B23" s="11">
        <v>2751358000000</v>
      </c>
    </row>
    <row r="24" spans="1:2" x14ac:dyDescent="0.25">
      <c r="A24" t="s">
        <v>25</v>
      </c>
      <c r="B24" s="10">
        <f>B22/(B22+B23)</f>
        <v>0.4927816026136023</v>
      </c>
    </row>
    <row r="25" spans="1:2" x14ac:dyDescent="0.25">
      <c r="A25" t="s">
        <v>26</v>
      </c>
      <c r="B25" s="10">
        <f>1-B24</f>
        <v>0.5072183973863977</v>
      </c>
    </row>
    <row r="26" spans="1:2" x14ac:dyDescent="0.25">
      <c r="A26" t="s">
        <v>27</v>
      </c>
      <c r="B26" s="12">
        <f>B24*B20+B25*B21*(1-B8)</f>
        <v>0.053340073847967275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833496000000</v>
      </c>
      <c r="C29" s="8" t="s">
        <v>30</v>
      </c>
    </row>
    <row r="30" spans="1:2" x14ac:dyDescent="0.25">
      <c r="A30" t="s">
        <v>31</v>
      </c>
      <c r="B30" s="11">
        <v>-2517342000000</v>
      </c>
    </row>
    <row r="31" spans="1:2" x14ac:dyDescent="0.25">
      <c r="A31" t="s">
        <v>32</v>
      </c>
      <c r="B31" s="13">
        <v>368562000000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-0.014691365836743131</v>
      </c>
      <c r="C5" s="10">
        <f>Assumptions!B6</f>
        <v>-0.014691365836743131</v>
      </c>
      <c r="D5" s="10">
        <f>Assumptions!B6</f>
        <v>-0.014691365836743131</v>
      </c>
      <c r="E5" s="10">
        <f>Assumptions!B6</f>
        <v>-0.014691365836743131</v>
      </c>
      <c r="F5" s="10">
        <f>Assumptions!B6</f>
        <v>-0.014691365836743131</v>
      </c>
    </row>
    <row r="6" spans="1:6" x14ac:dyDescent="0.25">
      <c r="A6" t="s">
        <v>43</v>
      </c>
      <c r="B6" s="18">
        <f>Assumptions!B29*(1+B5)</f>
        <v>821250805340.538</v>
      </c>
      <c r="C6" s="18">
        <f>B6*(1+C5)</f>
        <v>809185509315.5602</v>
      </c>
      <c r="D6" s="18">
        <f>C6*(1+D5)</f>
        <v>797297468968.414</v>
      </c>
      <c r="E6" s="18">
        <f>D6*(1+E5)</f>
        <v>785584080171.0896</v>
      </c>
      <c r="F6" s="18">
        <f>E6*(1+F5)</f>
        <v>774042777053.7748</v>
      </c>
    </row>
    <row r="7" spans="1:6" x14ac:dyDescent="0.25">
      <c r="A7" t="s">
        <v>5</v>
      </c>
      <c r="B7" s="10">
        <f>Assumptions!B7</f>
        <v>0.5040750273088447</v>
      </c>
      <c r="C7" s="10">
        <f>Assumptions!B7</f>
        <v>0.5040750273088447</v>
      </c>
      <c r="D7" s="10">
        <f>Assumptions!B7</f>
        <v>0.5040750273088447</v>
      </c>
      <c r="E7" s="10">
        <f>Assumptions!B7</f>
        <v>0.5040750273088447</v>
      </c>
      <c r="F7" s="10">
        <f>Assumptions!B7</f>
        <v>0.5040750273088447</v>
      </c>
    </row>
    <row r="8" spans="1:6" x14ac:dyDescent="0.25">
      <c r="A8" t="s">
        <v>44</v>
      </c>
      <c r="B8" s="18">
        <f>B6*B7</f>
        <v>413972022129.4424</v>
      </c>
      <c r="C8" s="18">
        <f>C6*C7</f>
        <v>407890207706.1624</v>
      </c>
      <c r="D8" s="18">
        <f>D6*D7</f>
        <v>401897743443.526</v>
      </c>
      <c r="E8" s="18">
        <f>E6*E7</f>
        <v>395993316665.6356</v>
      </c>
      <c r="F8" s="18">
        <f>F6*F7</f>
        <v>390175633981.5955</v>
      </c>
    </row>
    <row r="9" spans="1:6" x14ac:dyDescent="0.25">
      <c r="A9" t="s">
        <v>45</v>
      </c>
      <c r="B9" s="18">
        <f>B8*(1-Assumptions!B8)</f>
        <v>359156000919.76355</v>
      </c>
      <c r="C9" s="18">
        <f>C8*(1-Assumptions!B8)</f>
        <v>353879508717.7897</v>
      </c>
      <c r="D9" s="18">
        <f>D8*(1-Assumptions!B8)</f>
        <v>348680535393.08966</v>
      </c>
      <c r="E9" s="18">
        <f>E8*(1-Assumptions!B8)</f>
        <v>343557942087.47833</v>
      </c>
      <c r="F9" s="18">
        <f>F8*(1-Assumptions!B8)</f>
        <v>338510606674.1526</v>
      </c>
    </row>
    <row r="10" spans="1:6" x14ac:dyDescent="0.25">
      <c r="A10" t="s">
        <v>46</v>
      </c>
      <c r="B10" s="18">
        <f>B6*Assumptions!B9</f>
        <v>33704711941.86185</v>
      </c>
      <c r="C10" s="18">
        <f>C6*Assumptions!B9</f>
        <v>33209543688.301914</v>
      </c>
      <c r="D10" s="18">
        <f>D6*Assumptions!B9</f>
        <v>32721650132.705765</v>
      </c>
      <c r="E10" s="18">
        <f>E6*Assumptions!B9</f>
        <v>32240924399.82427</v>
      </c>
      <c r="F10" s="18">
        <f>F6*Assumptions!B9</f>
        <v>31767261184.551674</v>
      </c>
    </row>
    <row r="11" spans="1:6" x14ac:dyDescent="0.25">
      <c r="A11" t="s">
        <v>47</v>
      </c>
      <c r="B11" s="18">
        <f>-B6*Assumptions!B10</f>
        <v>-25140790394.437496</v>
      </c>
      <c r="C11" s="18">
        <f>-C6*Assumptions!B10</f>
        <v>-24771437845.327938</v>
      </c>
      <c r="D11" s="18">
        <f>-D6*Assumptions!B10</f>
        <v>-24407511589.64008</v>
      </c>
      <c r="E11" s="18">
        <f>-E6*Assumptions!B10</f>
        <v>-24048931907.712128</v>
      </c>
      <c r="F11" s="18">
        <f>-F6*Assumptions!B10</f>
        <v>-23695620251.073006</v>
      </c>
    </row>
    <row r="12" spans="1:6" x14ac:dyDescent="0.25">
      <c r="A12" t="s">
        <v>48</v>
      </c>
      <c r="B12" s="18">
        <f>-(B6-Assumptions!B29)*Assumptions!B11</f>
        <v>12245194659.462036</v>
      </c>
      <c r="C12" s="18">
        <f>-(C6-B6)*Assumptions!B11</f>
        <v>12065296024.977783</v>
      </c>
      <c r="D12" s="18">
        <f>-(D6-C6)*Assumptions!B11</f>
        <v>11888040347.14624</v>
      </c>
      <c r="E12" s="18">
        <f>-(E6-D6)*Assumptions!B11</f>
        <v>11713388797.32434</v>
      </c>
      <c r="F12" s="18">
        <f>-(F6-E6)*Assumptions!B11</f>
        <v>11541303117.31482</v>
      </c>
    </row>
    <row r="13" spans="1:6" x14ac:dyDescent="0.25">
      <c r="A13" s="19" t="s">
        <v>49</v>
      </c>
      <c r="B13" s="20">
        <f>B9+B10+B11+B12</f>
        <v>379965117126.64996</v>
      </c>
      <c r="C13" s="20">
        <f>C9+C10+C11+C12</f>
        <v>374382910585.74146</v>
      </c>
      <c r="D13" s="20">
        <f>D9+D10+D11+D12</f>
        <v>368882714283.3016</v>
      </c>
      <c r="E13" s="20">
        <f>E9+E10+E11+E12</f>
        <v>363463323376.9148</v>
      </c>
      <c r="F13" s="20">
        <f>F9+F10+F11+F12</f>
        <v>358123550724.9461</v>
      </c>
    </row>
    <row r="14" spans="1:6" x14ac:dyDescent="0.25">
      <c r="A14" t="s">
        <v>50</v>
      </c>
      <c r="B14" s="21">
        <f>1/(1+Assumptions!$B$26)^(1-0.5*Assumptions!$B$32)</f>
        <v>0.9743515861510137</v>
      </c>
      <c r="C14" s="21">
        <f>1/(1+Assumptions!$B$26)^(2-0.5*Assumptions!$B$32)</f>
        <v>0.9250114092703225</v>
      </c>
      <c r="D14" s="21">
        <f>1/(1+Assumptions!$B$26)^(3-0.5*Assumptions!$B$32)</f>
        <v>0.8781697689438075</v>
      </c>
      <c r="E14" s="21">
        <f>1/(1+Assumptions!$B$26)^(4-0.5*Assumptions!$B$32)</f>
        <v>0.8337001418124695</v>
      </c>
      <c r="F14" s="21">
        <f>1/(1+Assumptions!$B$26)^(5-0.5*Assumptions!$B$32)</f>
        <v>0.7914824115319862</v>
      </c>
    </row>
    <row r="15" spans="1:6" x14ac:dyDescent="0.25">
      <c r="A15" s="19" t="s">
        <v>51</v>
      </c>
      <c r="B15" s="20">
        <f>B13*B14</f>
        <v>370219614554.4071</v>
      </c>
      <c r="C15" s="20">
        <f>C13*C14</f>
        <v>346308463727.64185</v>
      </c>
      <c r="D15" s="20">
        <f>D13*D14</f>
        <v>323941647969.5315</v>
      </c>
      <c r="E15" s="20">
        <f>E13*E14</f>
        <v>303019424242.96533</v>
      </c>
      <c r="F15" s="20">
        <f>F13*F14</f>
        <v>283448491554.1779</v>
      </c>
    </row>
    <row r="17" spans="1:2" x14ac:dyDescent="0.25">
      <c r="A17" s="22" t="s">
        <v>52</v>
      </c>
      <c r="B17" s="23">
        <f>SUM(B15:F15)</f>
        <v>1626937642048.7239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358123550724.9461</v>
      </c>
    </row>
    <row r="5" spans="1:2" x14ac:dyDescent="0.25">
      <c r="A5" t="s">
        <v>56</v>
      </c>
      <c r="B5" s="18">
        <f>IF(Assumptions!$B$33=0,B4,B4-Forecast!F11-Forecast!F10-Forecast!F12)</f>
        <v>338510606674.1526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0.4058702843677331</v>
      </c>
    </row>
    <row r="7" spans="1:2" x14ac:dyDescent="0.25">
      <c r="A7" t="s">
        <v>58</v>
      </c>
      <c r="B7" s="18">
        <f>-MAX(Forecast!F9,0)*B6</f>
        <v>-137391396192.33215</v>
      </c>
    </row>
    <row r="8" spans="1:2" x14ac:dyDescent="0.25">
      <c r="A8" t="s">
        <v>59</v>
      </c>
      <c r="B8" s="18">
        <f>IF(OR(Assumptions!$B$33=0,Assumptions!B12&lt;=0),B5,MAX(B5+B7,0))</f>
        <v>201119210481.82043</v>
      </c>
    </row>
    <row r="9" spans="1:2" x14ac:dyDescent="0.25">
      <c r="A9" t="s">
        <v>60</v>
      </c>
      <c r="B9" s="18">
        <f>B8*(1+Assumptions!B12)/(Assumptions!B26-Assumptions!B12)</f>
        <v>7274052701829.925</v>
      </c>
    </row>
    <row r="10" spans="1:2" x14ac:dyDescent="0.25">
      <c r="A10" t="s">
        <v>61</v>
      </c>
      <c r="B10" s="18">
        <f>B9/(1+Assumptions!B26)^(5-0.5*Assumptions!B32)</f>
        <v>5757284774055.108</v>
      </c>
    </row>
    <row r="11" spans="1:2" x14ac:dyDescent="0.25">
      <c r="A11" t="s">
        <v>62</v>
      </c>
      <c r="B11" s="18">
        <f>Forecast!B17+B10</f>
        <v>7384222416103.832</v>
      </c>
    </row>
    <row r="12" spans="1:2" x14ac:dyDescent="0.25">
      <c r="A12" t="s">
        <v>63</v>
      </c>
      <c r="B12" s="18">
        <f>-Assumptions!B30</f>
        <v>2517342000000</v>
      </c>
    </row>
    <row r="13" spans="1:2" x14ac:dyDescent="0.25">
      <c r="A13" t="s">
        <v>64</v>
      </c>
      <c r="B13" s="18">
        <f>B11+B12</f>
        <v>9901564416103.832</v>
      </c>
    </row>
    <row r="14" spans="1:2" x14ac:dyDescent="0.25">
      <c r="A14" s="19" t="s">
        <v>65</v>
      </c>
      <c r="B14" s="24">
        <f>B13/Assumptions!B31</f>
        <v>26.865396910435237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421942895166.1472</v>
      </c>
    </row>
    <row r="18" spans="1:2" x14ac:dyDescent="0.25">
      <c r="A18" t="s">
        <v>60</v>
      </c>
      <c r="B18" s="18">
        <f>B17*Assumptions!B13</f>
        <v>1265828685498.4417</v>
      </c>
    </row>
    <row r="19" spans="1:2" x14ac:dyDescent="0.25">
      <c r="A19" t="s">
        <v>61</v>
      </c>
      <c r="B19" s="18">
        <f>B18/(1+Assumptions!B26)^(5-0.5*Assumptions!B32)</f>
        <v>1001881140584.6707</v>
      </c>
    </row>
    <row r="20" spans="1:2" x14ac:dyDescent="0.25">
      <c r="A20" t="s">
        <v>62</v>
      </c>
      <c r="B20" s="18">
        <f>Forecast!B17+B19</f>
        <v>2628818782633.3945</v>
      </c>
    </row>
    <row r="21" spans="1:2" x14ac:dyDescent="0.25">
      <c r="A21" t="s">
        <v>63</v>
      </c>
      <c r="B21" s="18">
        <f>-Assumptions!B30</f>
        <v>2517342000000</v>
      </c>
    </row>
    <row r="22" spans="1:2" x14ac:dyDescent="0.25">
      <c r="A22" t="s">
        <v>64</v>
      </c>
      <c r="B22" s="18">
        <f>B20+B21</f>
        <v>5146160782633.395</v>
      </c>
    </row>
    <row r="23" spans="1:2" x14ac:dyDescent="0.25">
      <c r="A23" s="19" t="s">
        <v>65</v>
      </c>
      <c r="B23" s="25">
        <f>B22/Assumptions!B31</f>
        <v>13.962808923962303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31.454006702737576</v>
      </c>
    </row>
    <row r="29" spans="1:2" x14ac:dyDescent="0.25">
      <c r="A29" s="19" t="s">
        <v>73</v>
      </c>
      <c r="B29" s="12">
        <f>B28/B26-1</f>
        <v>3.1938675603650104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0.03334</v>
      </c>
      <c r="B5" s="31">
        <v>44.62749570810065</v>
      </c>
      <c r="C5" s="31">
        <v>52.36868249019458</v>
      </c>
      <c r="D5" s="31">
        <v>69.31473869816031</v>
      </c>
      <c r="E5" s="31">
        <v>136.80489828052396</v>
      </c>
      <c r="F5" s="31" t="s">
        <v>76</v>
      </c>
    </row>
    <row r="6" spans="1:6" x14ac:dyDescent="0.25">
      <c r="A6" s="30">
        <v>0.04334</v>
      </c>
      <c r="B6" s="31">
        <v>31.90493100635448</v>
      </c>
      <c r="C6" s="31">
        <v>33.74028584674697</v>
      </c>
      <c r="D6" s="31">
        <v>36.5427930355849</v>
      </c>
      <c r="E6" s="31">
        <v>41.39995521354904</v>
      </c>
      <c r="F6" s="31">
        <v>52.00719502295274</v>
      </c>
    </row>
    <row r="7" spans="1:6" x14ac:dyDescent="0.25">
      <c r="A7" s="30">
        <v>0.05334</v>
      </c>
      <c r="B7" s="31">
        <v>25.802845245847458</v>
      </c>
      <c r="C7" s="31">
        <v>26.263314967845567</v>
      </c>
      <c r="D7" s="32">
        <v>26.86544327593522</v>
      </c>
      <c r="E7" s="31">
        <v>27.700270392540293</v>
      </c>
      <c r="F7" s="31">
        <v>28.9581170443637</v>
      </c>
    </row>
    <row r="8" spans="1:6" x14ac:dyDescent="0.25">
      <c r="A8" s="30">
        <v>0.06334</v>
      </c>
      <c r="B8" s="31">
        <v>22.311354520859112</v>
      </c>
      <c r="C8" s="31">
        <v>22.36635025327112</v>
      </c>
      <c r="D8" s="31">
        <v>22.421345985683114</v>
      </c>
      <c r="E8" s="31">
        <v>22.476341718095117</v>
      </c>
      <c r="F8" s="31">
        <v>22.53133745050712</v>
      </c>
    </row>
    <row r="9" spans="1:6" x14ac:dyDescent="0.25">
      <c r="A9" s="30">
        <v>0.07334</v>
      </c>
      <c r="B9" s="31">
        <v>20.297935732664982</v>
      </c>
      <c r="C9" s="31">
        <v>20.343473623209075</v>
      </c>
      <c r="D9" s="31">
        <v>20.389011513753168</v>
      </c>
      <c r="E9" s="31">
        <v>20.43454940429726</v>
      </c>
      <c r="F9" s="31">
        <v>20.480087294841354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833496000000</v>
      </c>
      <c r="C5" s="18">
        <v>817284000000</v>
      </c>
      <c r="D5" s="18">
        <v>838048000000</v>
      </c>
      <c r="E5" s="18">
        <v>871338000000</v>
      </c>
      <c r="F5" s="8" t="s">
        <v>85</v>
      </c>
    </row>
    <row r="6" spans="1:6" x14ac:dyDescent="0.25">
      <c r="A6" t="s">
        <v>44</v>
      </c>
      <c r="B6" s="18">
        <v>424435000000</v>
      </c>
      <c r="C6" s="18">
        <v>421827000000</v>
      </c>
      <c r="D6" s="18">
        <v>421966000000</v>
      </c>
      <c r="E6" s="18">
        <v>424720000000</v>
      </c>
      <c r="F6" s="8" t="s">
        <v>86</v>
      </c>
    </row>
    <row r="7" spans="1:6" x14ac:dyDescent="0.25">
      <c r="A7" t="s">
        <v>87</v>
      </c>
      <c r="B7" s="18">
        <v>34485000000</v>
      </c>
      <c r="C7" s="18">
        <v>34538000000</v>
      </c>
      <c r="D7" s="18">
        <v>34774000000</v>
      </c>
      <c r="E7" s="18">
        <v>34013000000</v>
      </c>
      <c r="F7" s="8" t="s">
        <v>88</v>
      </c>
    </row>
    <row r="8" spans="1:6" x14ac:dyDescent="0.25">
      <c r="A8" t="s">
        <v>89</v>
      </c>
      <c r="B8" s="18">
        <v>38239000000</v>
      </c>
      <c r="C8" s="18">
        <v>35585000000</v>
      </c>
      <c r="D8" s="18">
        <v>14494000000</v>
      </c>
      <c r="E8" s="18">
        <v>13713000000</v>
      </c>
      <c r="F8" s="8" t="s">
        <v>90</v>
      </c>
    </row>
    <row r="9" spans="1:6" x14ac:dyDescent="0.25">
      <c r="A9" t="s">
        <v>91</v>
      </c>
      <c r="B9" s="18">
        <v>-1749034000000</v>
      </c>
      <c r="C9" s="18">
        <v>-416594000000</v>
      </c>
      <c r="D9" s="18">
        <v>-1215234000000</v>
      </c>
      <c r="E9" s="18">
        <v>-1128028000000</v>
      </c>
      <c r="F9" s="8" t="s">
        <v>92</v>
      </c>
    </row>
    <row r="10" spans="1:6" x14ac:dyDescent="0.25">
      <c r="A10" t="s">
        <v>93</v>
      </c>
      <c r="B10" s="18">
        <v>2751358000000</v>
      </c>
      <c r="C10" s="18">
        <v>2599150000000</v>
      </c>
      <c r="D10" s="18">
        <v>1898250000000</v>
      </c>
      <c r="E10" s="18">
        <v>1428764000000</v>
      </c>
      <c r="F10" s="8" t="s">
        <v>94</v>
      </c>
    </row>
    <row r="11" spans="1:6" x14ac:dyDescent="0.25">
      <c r="A11" t="s">
        <v>95</v>
      </c>
      <c r="B11" s="18">
        <v>5268700000000</v>
      </c>
      <c r="C11" s="18">
        <v>4751029000000</v>
      </c>
      <c r="D11" s="18">
        <v>5298435000000</v>
      </c>
      <c r="E11" s="18">
        <v>4744282000000</v>
      </c>
      <c r="F11" s="8" t="s">
        <v>96</v>
      </c>
    </row>
    <row r="12" spans="1:6" x14ac:dyDescent="0.25">
      <c r="A12" t="s">
        <v>32</v>
      </c>
      <c r="B12" s="34">
        <v>368562000000</v>
      </c>
      <c r="C12" s="34">
        <v>373329591837</v>
      </c>
      <c r="D12" s="34">
        <v>371421428571</v>
      </c>
      <c r="E12" s="34">
        <v>372301030928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38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