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<sst xmlns="http://schemas.openxmlformats.org/spreadsheetml/2006/main" count="114" uniqueCount="102">
  <si>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Xiaomi Corporation (1810.HK)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</si>
  <si>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</si>
  <si>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</si>
  <si>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</si>
  <si>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</si>
  <si>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</si>
  <si>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</si>
  <si>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</si>
  <si>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</si>
  <si>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</si>
  <si>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</si>
  <si>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</si>
  <si>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</si>
  <si>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</si>
  <si>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</si>
  <si>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</si>
  <si>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</si>
  <si>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</si>
  <si>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</si>
  <si>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</si>
  <si>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</si>
  <si>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</si>
  <si>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</si>
  <si>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</si>
  <si>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</si>
  <si>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</si>
  <si>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</si>
  <si>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</si>
  <si>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</si>
  <si>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</si>
  <si>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</si>
  <si>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</si>
  <si>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</si>
  <si>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</si>
  <si>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</si>
  <si>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</si>
  <si>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</si>
  <si>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</si>
  <si>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</si>
  <si>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</si>
  <si>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</si>
  <si>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</si>
  <si>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</si>
  <si>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</si>
  <si>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</si>
  <si>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</si>
  <si>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</si>
  <si>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</si>
  <si>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</si>
  <si>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</si>
  <si>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</si>
  <si>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</si>
  <si>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</si>
  <si>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</si>
  <si>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</si>
  <si>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</si>
  <si>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</si>
  <si>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</si>
  <si>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</si>
  <si>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</si>
  <si>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</si>
  <si>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</si>
  <si>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</si>
  <si>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</si>
  <si>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</si>
  <si>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</si>
  <si>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</si>
  <si>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</si>
  <si>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</si>
  <si>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</si>
  <si>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</si>
  <si>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</si>
  <si>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</si>
  <si>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</si>
  <si>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</si>
  <si>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</si>
  <si>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</si>
  <si>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</si>
  <si>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</si>
  <si>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</si>
  <si>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</si>
  <si>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</si>
  <si>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</si>
  <si>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</si>
  <si>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</si>
  <si>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</si>
  <si>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</si>
  <si>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</si>
  <si>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</si>
  <si>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</si>
  <si>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</si>
  <si>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</si>
  <si>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</si>
  <si>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</si>
  <si>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</si>
  <si>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</si>
  <si>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</si>
  <si>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</si>
  <si>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</si>
  <si>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2.3% of revenue against depreciation of 1.7%.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</si>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</sst>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0.17757186365200317</v>
      </c>
    </row>
    <row r="7" spans="1:2" x14ac:dyDescent="0.25">
      <c r="A7" t="s">
        <v>5</v>
      </c>
      <c r="B7" s="6">
        <v>0.05217393119732591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0.016875864917995188</v>
      </c>
    </row>
    <row r="10" spans="1:2" x14ac:dyDescent="0.25">
      <c r="A10" t="s">
        <v>8</v>
      </c>
      <c r="B10" s="6">
        <v>0.022927839249871705</v>
      </c>
    </row>
    <row r="11" spans="1:2" x14ac:dyDescent="0.25">
      <c r="A11" t="s">
        <v>9</v>
      </c>
      <c r="B11" s="6">
        <v>0.1556187191561791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15.217918267480552</v>
      </c>
    </row>
    <row r="14" spans="1:3" x14ac:dyDescent="0.25">
      <c r="A14" t="s">
        <v>12</v>
      </c>
      <c r="B14" s="6">
        <v>0.08805895691688581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0.80972</v>
      </c>
      <c r="C19" s="8" t="s">
        <v>19</v>
      </c>
    </row>
    <row r="20" spans="1:2" x14ac:dyDescent="0.25">
      <c r="A20" t="s">
        <v>20</v>
      </c>
      <c r="B20" s="10">
        <f>B17+B19*B18</f>
        <v>0.0886804</v>
      </c>
    </row>
    <row r="21" spans="1:3" x14ac:dyDescent="0.25">
      <c r="A21" t="s">
        <v>21</v>
      </c>
      <c r="B21" s="6">
        <v>0.0933787818434264</v>
      </c>
      <c r="C21" s="8" t="s">
        <v>22</v>
      </c>
    </row>
    <row r="22" spans="1:2" x14ac:dyDescent="0.25">
      <c r="A22" t="s">
        <v>23</v>
      </c>
      <c r="B22" s="11">
        <v>679140327424</v>
      </c>
    </row>
    <row r="23" spans="1:2" x14ac:dyDescent="0.25">
      <c r="A23" t="s">
        <v>24</v>
      </c>
      <c r="B23" s="11">
        <v>41837896000</v>
      </c>
    </row>
    <row r="24" spans="1:2" x14ac:dyDescent="0.25">
      <c r="A24" t="s">
        <v>25</v>
      </c>
      <c r="B24" s="10">
        <f>B22/(B22+B23)</f>
        <v>0.9419706523155339</v>
      </c>
    </row>
    <row r="25" spans="1:2" x14ac:dyDescent="0.25">
      <c r="A25" t="s">
        <v>26</v>
      </c>
      <c r="B25" s="10">
        <f>1-B24</f>
        <v>0.058029347684466104</v>
      </c>
    </row>
    <row r="26" spans="1:2" x14ac:dyDescent="0.25">
      <c r="A26" t="s">
        <v>27</v>
      </c>
      <c r="B26" s="12">
        <f>B24*B20+B25*B21*(1-B8)</f>
        <v>0.08805895691688581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457286687000</v>
      </c>
      <c r="C29" s="8" t="s">
        <v>30</v>
      </c>
    </row>
    <row r="30" spans="1:2" x14ac:dyDescent="0.25">
      <c r="A30" t="s">
        <v>31</v>
      </c>
      <c r="B30" s="11">
        <v>-65858693000</v>
      </c>
    </row>
    <row r="31" spans="1:2" x14ac:dyDescent="0.25">
      <c r="A31" t="s">
        <v>32</v>
      </c>
      <c r="B31" s="13">
        <v>26695326000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0.17757186365200317</v>
      </c>
      <c r="C5" s="10">
        <f>Assumptions!B6</f>
        <v>0.17757186365200317</v>
      </c>
      <c r="D5" s="10">
        <f>Assumptions!B6</f>
        <v>0.17757186365200317</v>
      </c>
      <c r="E5" s="10">
        <f>Assumptions!B6</f>
        <v>0.17757186365200317</v>
      </c>
      <c r="F5" s="10">
        <f>Assumptions!B6</f>
        <v>0.17757186365200317</v>
      </c>
    </row>
    <row r="6" spans="1:6" x14ac:dyDescent="0.25">
      <c r="A6" t="s">
        <v>43</v>
      </c>
      <c r="B6" s="18">
        <f>Assumptions!B29*(1+B5)</f>
        <v>538487936233.8403</v>
      </c>
      <c r="C6" s="18">
        <f>B6*(1+C5)</f>
        <v>634108242625.0043</v>
      </c>
      <c r="D6" s="18">
        <f>C6*(1+D5)</f>
        <v>746708025025.0228</v>
      </c>
      <c r="E6" s="18">
        <f>D6*(1+E5)</f>
        <v>879302360632.6228</v>
      </c>
      <c r="F6" s="18">
        <f>E6*(1+F5)</f>
        <v>1035441719523.7634</v>
      </c>
    </row>
    <row r="7" spans="1:6" x14ac:dyDescent="0.25">
      <c r="A7" t="s">
        <v>5</v>
      </c>
      <c r="B7" s="10">
        <f>Assumptions!B7</f>
        <v>0.05217393119732591</v>
      </c>
      <c r="C7" s="10">
        <f>Assumptions!B7</f>
        <v>0.05217393119732591</v>
      </c>
      <c r="D7" s="10">
        <f>Assumptions!B7</f>
        <v>0.05217393119732591</v>
      </c>
      <c r="E7" s="10">
        <f>Assumptions!B7</f>
        <v>0.05217393119732591</v>
      </c>
      <c r="F7" s="10">
        <f>Assumptions!B7</f>
        <v>0.05217393119732591</v>
      </c>
    </row>
    <row r="8" spans="1:6" x14ac:dyDescent="0.25">
      <c r="A8" t="s">
        <v>44</v>
      </c>
      <c r="B8" s="18">
        <f>B6*B7</f>
        <v>28095032535.654404</v>
      </c>
      <c r="C8" s="18">
        <f>C6*C7</f>
        <v>33083919822.374218</v>
      </c>
      <c r="D8" s="18">
        <f>D6*D7</f>
        <v>38958693122.14666</v>
      </c>
      <c r="E8" s="18">
        <f>E6*E7</f>
        <v>45876660865.29272</v>
      </c>
      <c r="F8" s="18">
        <f>F6*F7</f>
        <v>54023065033.27367</v>
      </c>
    </row>
    <row r="9" spans="1:6" x14ac:dyDescent="0.25">
      <c r="A9" t="s">
        <v>45</v>
      </c>
      <c r="B9" s="18">
        <f>B8*(1-Assumptions!B8)</f>
        <v>23459352167.271427</v>
      </c>
      <c r="C9" s="18">
        <f>C8*(1-Assumptions!B8)</f>
        <v>27625073051.682472</v>
      </c>
      <c r="D9" s="18">
        <f>D8*(1-Assumptions!B8)</f>
        <v>32530508756.99246</v>
      </c>
      <c r="E9" s="18">
        <f>E8*(1-Assumptions!B8)</f>
        <v>38307011822.51942</v>
      </c>
      <c r="F9" s="18">
        <f>F8*(1-Assumptions!B8)</f>
        <v>45109259302.78351</v>
      </c>
    </row>
    <row r="10" spans="1:6" x14ac:dyDescent="0.25">
      <c r="A10" t="s">
        <v>46</v>
      </c>
      <c r="B10" s="18">
        <f>B6*Assumptions!B9</f>
        <v>9087449671.852295</v>
      </c>
      <c r="C10" s="18">
        <f>C6*Assumptions!B9</f>
        <v>10701125045.92689</v>
      </c>
      <c r="D10" s="18">
        <f>D6*Assumptions!B9</f>
        <v>12601343763.505255</v>
      </c>
      <c r="E10" s="18">
        <f>E6*Assumptions!B9</f>
        <v>14838987860.110432</v>
      </c>
      <c r="F10" s="18">
        <f>F6*Assumptions!B9</f>
        <v>17473974589.13969</v>
      </c>
    </row>
    <row r="11" spans="1:6" x14ac:dyDescent="0.25">
      <c r="A11" t="s">
        <v>47</v>
      </c>
      <c r="B11" s="18">
        <f>-B6*Assumptions!B10</f>
        <v>-12346364839.964655</v>
      </c>
      <c r="C11" s="18">
        <f>-C6*Assumptions!B10</f>
        <v>-14538731853.924744</v>
      </c>
      <c r="D11" s="18">
        <f>-D6*Assumptions!B10</f>
        <v>-17120401564.362902</v>
      </c>
      <c r="E11" s="18">
        <f>-E6*Assumptions!B10</f>
        <v>-20160503176.617493</v>
      </c>
      <c r="F11" s="18">
        <f>-F6*Assumptions!B10</f>
        <v>-23740441297.851593</v>
      </c>
    </row>
    <row r="12" spans="1:6" x14ac:dyDescent="0.25">
      <c r="A12" t="s">
        <v>48</v>
      </c>
      <c r="B12" s="18">
        <f>-(B6-Assumptions!B29)*Assumptions!B11</f>
        <v>-12636434399.651892</v>
      </c>
      <c r="C12" s="18">
        <f>-(C6-B6)*Assumptions!B11</f>
        <v>-14880309605.914347</v>
      </c>
      <c r="D12" s="18">
        <f>-(D6-C6)*Assumptions!B11</f>
        <v>-17522633914.355366</v>
      </c>
      <c r="E12" s="18">
        <f>-(E6-D6)*Assumptions!B11</f>
        <v>-20634160674.61926</v>
      </c>
      <c r="F12" s="18">
        <f>-(F6-E6)*Assumptions!B11</f>
        <v>-24298207040.506268</v>
      </c>
    </row>
    <row r="13" spans="1:6" x14ac:dyDescent="0.25">
      <c r="A13" s="19" t="s">
        <v>49</v>
      </c>
      <c r="B13" s="20">
        <f>B9+B10+B11+B12</f>
        <v>7564002599.507174</v>
      </c>
      <c r="C13" s="20">
        <f>C9+C10+C11+C12</f>
        <v>8907156637.77027</v>
      </c>
      <c r="D13" s="20">
        <f>D9+D10+D11+D12</f>
        <v>10488817041.779446</v>
      </c>
      <c r="E13" s="20">
        <f>E9+E10+E11+E12</f>
        <v>12351335831.3931</v>
      </c>
      <c r="F13" s="20">
        <f>F9+F10+F11+F12</f>
        <v>14544585553.565342</v>
      </c>
    </row>
    <row r="14" spans="1:6" x14ac:dyDescent="0.25">
      <c r="A14" t="s">
        <v>50</v>
      </c>
      <c r="B14" s="21">
        <f>1/(1+Assumptions!$B$26)^(1-0.5*Assumptions!$B$32)</f>
        <v>0.9586802617637897</v>
      </c>
      <c r="C14" s="21">
        <f>1/(1+Assumptions!$B$26)^(2-0.5*Assumptions!$B$32)</f>
        <v>0.8810922015478807</v>
      </c>
      <c r="D14" s="21">
        <f>1/(1+Assumptions!$B$26)^(3-0.5*Assumptions!$B$32)</f>
        <v>0.8097835103021767</v>
      </c>
      <c r="E14" s="21">
        <f>1/(1+Assumptions!$B$26)^(4-0.5*Assumptions!$B$32)</f>
        <v>0.744245985159455</v>
      </c>
      <c r="F14" s="21">
        <f>1/(1+Assumptions!$B$26)^(5-0.5*Assumptions!$B$32)</f>
        <v>0.6840125532060723</v>
      </c>
    </row>
    <row r="15" spans="1:6" x14ac:dyDescent="0.25">
      <c r="A15" s="19" t="s">
        <v>51</v>
      </c>
      <c r="B15" s="20">
        <f>B13*B14</f>
        <v>7251459992.077523</v>
      </c>
      <c r="C15" s="20">
        <f>C13*C14</f>
        <v>7848026251.504826</v>
      </c>
      <c r="D15" s="20">
        <f>D13*D14</f>
        <v>8493671083.009452</v>
      </c>
      <c r="E15" s="20">
        <f>E13*E14</f>
        <v>9192432103.870434</v>
      </c>
      <c r="F15" s="20">
        <f>F13*F14</f>
        <v>9948679099.818384</v>
      </c>
    </row>
    <row r="17" spans="1:2" x14ac:dyDescent="0.25">
      <c r="A17" s="22" t="s">
        <v>52</v>
      </c>
      <c r="B17" s="23">
        <f>SUM(B15:F15)</f>
        <v>42734268530.28062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14544585553.565342</v>
      </c>
    </row>
    <row r="5" spans="1:2" x14ac:dyDescent="0.25">
      <c r="A5" t="s">
        <v>56</v>
      </c>
      <c r="B5" s="18">
        <f>IF(Assumptions!$B$33=0,B4,B4-Forecast!F11-Forecast!F10-Forecast!F12)</f>
        <v>51373812104.99852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0.2839007055647522</v>
      </c>
    </row>
    <row r="7" spans="1:2" x14ac:dyDescent="0.25">
      <c r="A7" t="s">
        <v>58</v>
      </c>
      <c r="B7" s="18">
        <f>-MAX(Forecast!F9,0)*B6</f>
        <v>-14585061504.160088</v>
      </c>
    </row>
    <row r="8" spans="1:2" x14ac:dyDescent="0.25">
      <c r="A8" t="s">
        <v>59</v>
      </c>
      <c r="B8" s="18">
        <f>IF(OR(Assumptions!$B$33=0,Assumptions!B12&lt;=0),B5,MAX(B5+B7,0))</f>
        <v>36788750600.83843</v>
      </c>
    </row>
    <row r="9" spans="1:2" x14ac:dyDescent="0.25">
      <c r="A9" t="s">
        <v>60</v>
      </c>
      <c r="B9" s="18">
        <f>B8*(1+Assumptions!B12)/(Assumptions!B26-Assumptions!B12)</f>
        <v>597987521670.5636</v>
      </c>
    </row>
    <row r="10" spans="1:2" x14ac:dyDescent="0.25">
      <c r="A10" t="s">
        <v>61</v>
      </c>
      <c r="B10" s="18">
        <f>B9/(1+Assumptions!B26)^(5-0.5*Assumptions!B32)</f>
        <v>409030971483.2537</v>
      </c>
    </row>
    <row r="11" spans="1:2" x14ac:dyDescent="0.25">
      <c r="A11" t="s">
        <v>62</v>
      </c>
      <c r="B11" s="18">
        <f>Forecast!B17+B10</f>
        <v>451765240013.53436</v>
      </c>
    </row>
    <row r="12" spans="1:2" x14ac:dyDescent="0.25">
      <c r="A12" t="s">
        <v>63</v>
      </c>
      <c r="B12" s="18">
        <f>-Assumptions!B30</f>
        <v>65858693000</v>
      </c>
    </row>
    <row r="13" spans="1:2" x14ac:dyDescent="0.25">
      <c r="A13" t="s">
        <v>64</v>
      </c>
      <c r="B13" s="18">
        <f>B11+B12</f>
        <v>517623933013.53436</v>
      </c>
    </row>
    <row r="14" spans="1:2" x14ac:dyDescent="0.25">
      <c r="A14" s="19" t="s">
        <v>65</v>
      </c>
      <c r="B14" s="24">
        <f>B13/Assumptions!B31</f>
        <v>19.390058507378196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71497039622.41336</v>
      </c>
    </row>
    <row r="18" spans="1:2" x14ac:dyDescent="0.25">
      <c r="A18" t="s">
        <v>60</v>
      </c>
      <c r="B18" s="18">
        <f>B17*Assumptions!B13</f>
        <v>1088036105340.7051</v>
      </c>
    </row>
    <row r="19" spans="1:2" x14ac:dyDescent="0.25">
      <c r="A19" t="s">
        <v>61</v>
      </c>
      <c r="B19" s="18">
        <f>B18/(1+Assumptions!B26)^(5-0.5*Assumptions!B32)</f>
        <v>744230354394.4868</v>
      </c>
    </row>
    <row r="20" spans="1:2" x14ac:dyDescent="0.25">
      <c r="A20" t="s">
        <v>62</v>
      </c>
      <c r="B20" s="18">
        <f>Forecast!B17+B19</f>
        <v>786964622924.7675</v>
      </c>
    </row>
    <row r="21" spans="1:2" x14ac:dyDescent="0.25">
      <c r="A21" t="s">
        <v>63</v>
      </c>
      <c r="B21" s="18">
        <f>-Assumptions!B30</f>
        <v>65858693000</v>
      </c>
    </row>
    <row r="22" spans="1:2" x14ac:dyDescent="0.25">
      <c r="A22" t="s">
        <v>64</v>
      </c>
      <c r="B22" s="18">
        <f>B20+B21</f>
        <v>852823315924.7675</v>
      </c>
    </row>
    <row r="23" spans="1:2" x14ac:dyDescent="0.25">
      <c r="A23" s="19" t="s">
        <v>65</v>
      </c>
      <c r="B23" s="25">
        <f>B22/Assumptions!B31</f>
        <v>31.946540601331016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26.4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22.701880500438392</v>
      </c>
    </row>
    <row r="29" spans="1:2" x14ac:dyDescent="0.25">
      <c r="A29" s="19" t="s">
        <v>73</v>
      </c>
      <c r="B29" s="12">
        <f>B28/B26-1</f>
        <v>-0.14008028407430329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0.068059</v>
      </c>
      <c r="B5" s="31">
        <v>26.098217015438678</v>
      </c>
      <c r="C5" s="31">
        <v>26.49484674535348</v>
      </c>
      <c r="D5" s="31">
        <v>26.96163618939383</v>
      </c>
      <c r="E5" s="31">
        <v>27.526237038667862</v>
      </c>
      <c r="F5" s="31">
        <v>28.233029676082023</v>
      </c>
    </row>
    <row r="6" spans="1:6" x14ac:dyDescent="0.25">
      <c r="A6" s="30">
        <v>0.078059</v>
      </c>
      <c r="B6" s="31">
        <v>21.950375046105428</v>
      </c>
      <c r="C6" s="31">
        <v>22.0382696477556</v>
      </c>
      <c r="D6" s="31">
        <v>22.12616424940577</v>
      </c>
      <c r="E6" s="31">
        <v>22.214058851055942</v>
      </c>
      <c r="F6" s="31">
        <v>22.30195345270611</v>
      </c>
    </row>
    <row r="7" spans="1:6" x14ac:dyDescent="0.25">
      <c r="A7" s="30">
        <v>0.088059</v>
      </c>
      <c r="B7" s="31">
        <v>19.24056338980675</v>
      </c>
      <c r="C7" s="31">
        <v>19.315305751069108</v>
      </c>
      <c r="D7" s="32">
        <v>19.39004811233146</v>
      </c>
      <c r="E7" s="31">
        <v>19.464790473593823</v>
      </c>
      <c r="F7" s="31">
        <v>19.53953283485618</v>
      </c>
    </row>
    <row r="8" spans="1:6" x14ac:dyDescent="0.25">
      <c r="A8" s="30">
        <v>0.098059</v>
      </c>
      <c r="B8" s="31">
        <v>17.10538056050828</v>
      </c>
      <c r="C8" s="31">
        <v>17.169793566493414</v>
      </c>
      <c r="D8" s="31">
        <v>17.23420657247855</v>
      </c>
      <c r="E8" s="31">
        <v>17.298619578463676</v>
      </c>
      <c r="F8" s="31">
        <v>17.36303258444881</v>
      </c>
    </row>
    <row r="9" spans="1:6" x14ac:dyDescent="0.25">
      <c r="A9" s="30">
        <v>0.108059</v>
      </c>
      <c r="B9" s="31">
        <v>15.38416080406287</v>
      </c>
      <c r="C9" s="31">
        <v>15.440276278532576</v>
      </c>
      <c r="D9" s="31">
        <v>15.49639175300228</v>
      </c>
      <c r="E9" s="31">
        <v>15.552507227471988</v>
      </c>
      <c r="F9" s="31">
        <v>15.60862270194169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457286687000</v>
      </c>
      <c r="C5" s="18">
        <v>365906350000</v>
      </c>
      <c r="D5" s="18">
        <v>270970141000</v>
      </c>
      <c r="E5" s="18">
        <v>280044016000</v>
      </c>
      <c r="F5" s="8" t="s">
        <v>84</v>
      </c>
    </row>
    <row r="6" spans="1:6" x14ac:dyDescent="0.25">
      <c r="A6" t="s">
        <v>44</v>
      </c>
      <c r="B6" s="18">
        <v>31543222000</v>
      </c>
      <c r="C6" s="18">
        <v>23185613000</v>
      </c>
      <c r="D6" s="18">
        <v>14765291000</v>
      </c>
      <c r="E6" s="18">
        <v>6122119000</v>
      </c>
      <c r="F6" s="8" t="s">
        <v>85</v>
      </c>
    </row>
    <row r="7" spans="1:6" x14ac:dyDescent="0.25">
      <c r="A7" t="s">
        <v>86</v>
      </c>
      <c r="B7" s="18">
        <v>8756747000</v>
      </c>
      <c r="C7" s="18">
        <v>6318269000</v>
      </c>
      <c r="D7" s="18">
        <v>4836287000</v>
      </c>
      <c r="E7" s="18">
        <v>3707393000</v>
      </c>
      <c r="F7" s="8" t="s">
        <v>87</v>
      </c>
    </row>
    <row r="8" spans="1:6" x14ac:dyDescent="0.25">
      <c r="A8" t="s">
        <v>88</v>
      </c>
      <c r="B8" s="18">
        <v>12769155000</v>
      </c>
      <c r="C8" s="18">
        <v>7297307000</v>
      </c>
      <c r="D8" s="18">
        <v>6268900000</v>
      </c>
      <c r="E8" s="18">
        <v>5799570000</v>
      </c>
      <c r="F8" s="8" t="s">
        <v>89</v>
      </c>
    </row>
    <row r="9" spans="1:6" x14ac:dyDescent="0.25">
      <c r="A9" t="s">
        <v>90</v>
      </c>
      <c r="B9" s="18">
        <v>14220491000</v>
      </c>
      <c r="C9" s="18">
        <v>-3994608000</v>
      </c>
      <c r="D9" s="18">
        <v>-17319472000</v>
      </c>
      <c r="E9" s="18">
        <v>21254849000</v>
      </c>
      <c r="F9" s="8" t="s">
        <v>91</v>
      </c>
    </row>
    <row r="10" spans="1:6" x14ac:dyDescent="0.25">
      <c r="A10" t="s">
        <v>92</v>
      </c>
      <c r="B10" s="18">
        <v>41837896000</v>
      </c>
      <c r="C10" s="18">
        <v>36011374000</v>
      </c>
      <c r="D10" s="18">
        <v>29825511000</v>
      </c>
      <c r="E10" s="18">
        <v>26056130000</v>
      </c>
      <c r="F10" s="8" t="s">
        <v>93</v>
      </c>
    </row>
    <row r="11" spans="1:6" x14ac:dyDescent="0.25">
      <c r="A11" t="s">
        <v>94</v>
      </c>
      <c r="B11" s="18">
        <v>107696589000</v>
      </c>
      <c r="C11" s="18">
        <v>101772482000</v>
      </c>
      <c r="D11" s="18">
        <v>107833440000</v>
      </c>
      <c r="E11" s="18">
        <v>67816990000</v>
      </c>
      <c r="F11" s="8" t="s">
        <v>95</v>
      </c>
    </row>
    <row r="12" spans="1:6" x14ac:dyDescent="0.25">
      <c r="A12" t="s">
        <v>32</v>
      </c>
      <c r="B12" s="34">
        <v>26695326000</v>
      </c>
      <c r="C12" s="34">
        <v>25500733000</v>
      </c>
      <c r="D12" s="34">
        <v>25324991000</v>
      </c>
      <c r="E12" s="34">
        <v>25296728000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