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<sst xmlns="http://schemas.openxmlformats.org/spreadsheetml/2006/main" count="121" uniqueCount="106">
  <si>
    <t>Sands China Ltd. (1928.HK)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</si>
  <si>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</si>
  <si>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</si>
  <si>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</si>
  <si>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</si>
  <si>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</si>
  <si>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</si>
  <si>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</si>
  <si>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</si>
  <si>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</si>
  <si>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</si>
  <si>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</si>
  <si>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</si>
  <si>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</si>
  <si>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</si>
  <si>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</si>
  <si>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</si>
  <si>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</si>
  <si>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</si>
  <si>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</si>
  <si>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</si>
  <si>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</si>
  <si>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</si>
  <si>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</si>
  <si>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</si>
  <si>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</si>
  <si>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</si>
  <si>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</si>
  <si>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</si>
  <si>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</si>
  <si>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</si>
  <si>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</si>
  <si>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</si>
  <si>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</si>
  <si>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</si>
  <si>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</si>
  <si>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</si>
  <si>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</si>
  <si>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</si>
  <si>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</si>
  <si>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</si>
  <si>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</si>
  <si>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</si>
  <si>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</si>
  <si>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</si>
  <si>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</si>
  <si>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</si>
  <si>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</si>
  <si>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</si>
  <si>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</si>
  <si>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</si>
  <si>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</si>
  <si>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</si>
  <si>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</si>
  <si>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</si>
  <si>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</si>
  <si>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</si>
  <si>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</si>
  <si>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</si>
  <si>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</si>
  <si>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</si>
  <si>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</si>
  <si>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</si>
  <si>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</si>
  <si>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</si>
  <si>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</si>
  <si>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</si>
  <si>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</si>
  <si>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</si>
  <si>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</si>
  <si>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</si>
  <si>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</si>
  <si>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</si>
  <si>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</si>
  <si>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</si>
  <si>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</si>
  <si>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</si>
  <si>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</si>
  <si>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</si>
  <si>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</si>
  <si>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</si>
  <si>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</si>
  <si>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</si>
  <si>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</si>
  <si>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</si>
  <si>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</si>
  <si>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</si>
  <si>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</si>
  <si>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</si>
  <si>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</si>
  <si>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</si>
  <si>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</si>
  <si>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</si>
  <si>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</si>
  <si>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</si>
  <si>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</si>
  <si>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</si>
  <si>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</si>
  <si>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</si>
  <si>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</si>
  <si>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Reports in USD, trades in HKD. Modelled in USD, converted at the end.</t>
  </si>
  <si>
    <t>Adjusted: Reported capital expenditure averages 9.16% of revenue against depreciation of 19.38%. A business cannot depreciate more than it invests indefinitely. Capex has been set to 19.38% of revenue so the forecast is not handed free growth. Override it if the reported figure is right.</t>
  </si>
  <si>
    <t>Adjusted: Free cashflow is negative in at least one forecast year, so terminal value carries most of the valuation.</t>
  </si>
  <si>
    <t>Note: Risk-free rate is an assumption: HKD assumption - no free live source available for this market.</t>
  </si>
  <si>
    <t>No usable EV/EBITDA (EBITDA is not positive), so the exit multiple falls back to 8x.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</si>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</sst>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-0.04093841309826765</v>
      </c>
    </row>
    <row r="8" spans="1:2" x14ac:dyDescent="0.25">
      <c r="A8" t="s">
        <v>6</v>
      </c>
      <c r="B8" s="6">
        <v>0.03583812258384371</v>
      </c>
    </row>
    <row r="9" spans="1:2" x14ac:dyDescent="0.25">
      <c r="A9" t="s">
        <v>7</v>
      </c>
      <c r="B9" s="6">
        <v>0.20100237436886215</v>
      </c>
    </row>
    <row r="10" spans="1:2" x14ac:dyDescent="0.25">
      <c r="A10" t="s">
        <v>8</v>
      </c>
      <c r="B10" s="6">
        <v>0.1937941823571961</v>
      </c>
    </row>
    <row r="11" spans="1:2" x14ac:dyDescent="0.25">
      <c r="A11" t="s">
        <v>9</v>
      </c>
      <c r="B11" s="6">
        <v>-0.005509641873278237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0.14787300676095969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0.66299</v>
      </c>
      <c r="C19" s="8" t="s">
        <v>19</v>
      </c>
    </row>
    <row r="20" spans="1:2" x14ac:dyDescent="0.25">
      <c r="A20" t="s">
        <v>20</v>
      </c>
      <c r="B20" s="10">
        <f>B17+B19*B18</f>
        <v>0.0784093</v>
      </c>
    </row>
    <row r="21" spans="1:3" x14ac:dyDescent="0.25">
      <c r="A21" t="s">
        <v>21</v>
      </c>
      <c r="B21" s="6">
        <v>0.042475091767173574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7097000000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0.0409528642216616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7443000000</v>
      </c>
      <c r="C29" s="8" t="s">
        <v>30</v>
      </c>
    </row>
    <row r="30" spans="1:2" x14ac:dyDescent="0.25">
      <c r="A30" t="s">
        <v>31</v>
      </c>
      <c r="B30" s="11">
        <v>5592000000</v>
      </c>
    </row>
    <row r="31" spans="1:2" x14ac:dyDescent="0.25">
      <c r="A31" t="s">
        <v>32</v>
      </c>
      <c r="B31" s="13">
        <v>8093380000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11164500000</v>
      </c>
      <c r="C6" s="18">
        <f>B6*(1+C5)</f>
        <v>16746750000</v>
      </c>
      <c r="D6" s="18">
        <f>C6*(1+D5)</f>
        <v>25120125000</v>
      </c>
      <c r="E6" s="18">
        <f>D6*(1+E5)</f>
        <v>37680187500</v>
      </c>
      <c r="F6" s="18">
        <f>E6*(1+F5)</f>
        <v>56520281250</v>
      </c>
    </row>
    <row r="7" spans="1:6" x14ac:dyDescent="0.25">
      <c r="A7" t="s">
        <v>5</v>
      </c>
      <c r="B7" s="10">
        <f>Assumptions!B7</f>
        <v>-0.04093841309826765</v>
      </c>
      <c r="C7" s="10">
        <f>Assumptions!B7</f>
        <v>-0.04093841309826765</v>
      </c>
      <c r="D7" s="10">
        <f>Assumptions!B7</f>
        <v>-0.04093841309826765</v>
      </c>
      <c r="E7" s="10">
        <f>Assumptions!B7</f>
        <v>-0.04093841309826765</v>
      </c>
      <c r="F7" s="10">
        <f>Assumptions!B7</f>
        <v>-0.04093841309826765</v>
      </c>
    </row>
    <row r="8" spans="1:6" x14ac:dyDescent="0.25">
      <c r="A8" t="s">
        <v>44</v>
      </c>
      <c r="B8" s="18">
        <f>B6*B7</f>
        <v>-457056913.0356092</v>
      </c>
      <c r="C8" s="18">
        <f>C6*C7</f>
        <v>-685585369.5534137</v>
      </c>
      <c r="D8" s="18">
        <f>D6*D7</f>
        <v>-1028378054.3301207</v>
      </c>
      <c r="E8" s="18">
        <f>E6*E7</f>
        <v>-1542567081.495181</v>
      </c>
      <c r="F8" s="18">
        <f>F6*F7</f>
        <v>-2313850622.2427716</v>
      </c>
    </row>
    <row r="9" spans="1:6" x14ac:dyDescent="0.25">
      <c r="A9" t="s">
        <v>45</v>
      </c>
      <c r="B9" s="18">
        <f>B8*(1-Assumptions!B8)</f>
        <v>-440676851.3584458</v>
      </c>
      <c r="C9" s="18">
        <f>C8*(1-Assumptions!B8)</f>
        <v>-661015277.0376687</v>
      </c>
      <c r="D9" s="18">
        <f>D8*(1-Assumptions!B8)</f>
        <v>-991522915.5565032</v>
      </c>
      <c r="E9" s="18">
        <f>E8*(1-Assumptions!B8)</f>
        <v>-1487284373.3347547</v>
      </c>
      <c r="F9" s="18">
        <f>F8*(1-Assumptions!B8)</f>
        <v>-2230926560.0021324</v>
      </c>
    </row>
    <row r="10" spans="1:6" x14ac:dyDescent="0.25">
      <c r="A10" t="s">
        <v>46</v>
      </c>
      <c r="B10" s="18">
        <f>B6*Assumptions!B9</f>
        <v>2244091008.6411614</v>
      </c>
      <c r="C10" s="18">
        <f>C6*Assumptions!B9</f>
        <v>3366136512.961742</v>
      </c>
      <c r="D10" s="18">
        <f>D6*Assumptions!B9</f>
        <v>5049204769.442614</v>
      </c>
      <c r="E10" s="18">
        <f>E6*Assumptions!B9</f>
        <v>7573807154.163919</v>
      </c>
      <c r="F10" s="18">
        <f>F6*Assumptions!B9</f>
        <v>11360710731.24588</v>
      </c>
    </row>
    <row r="11" spans="1:6" x14ac:dyDescent="0.25">
      <c r="A11" t="s">
        <v>47</v>
      </c>
      <c r="B11" s="18">
        <f>-B6*Assumptions!B10</f>
        <v>-2163615148.9269156</v>
      </c>
      <c r="C11" s="18">
        <f>-C6*Assumptions!B10</f>
        <v>-3245422723.3903737</v>
      </c>
      <c r="D11" s="18">
        <f>-D6*Assumptions!B10</f>
        <v>-4868134085.085561</v>
      </c>
      <c r="E11" s="18">
        <f>-E6*Assumptions!B10</f>
        <v>-7302201127.628341</v>
      </c>
      <c r="F11" s="18">
        <f>-F6*Assumptions!B10</f>
        <v>-10953301691.44251</v>
      </c>
    </row>
    <row r="12" spans="1:6" x14ac:dyDescent="0.25">
      <c r="A12" t="s">
        <v>48</v>
      </c>
      <c r="B12" s="18">
        <f>-(B6-Assumptions!B29)*Assumptions!B11</f>
        <v>20504132.23140496</v>
      </c>
      <c r="C12" s="18">
        <f>-(C6-B6)*Assumptions!B11</f>
        <v>30756198.34710744</v>
      </c>
      <c r="D12" s="18">
        <f>-(D6-C6)*Assumptions!B11</f>
        <v>46134297.52066116</v>
      </c>
      <c r="E12" s="18">
        <f>-(E6-D6)*Assumptions!B11</f>
        <v>69201446.28099173</v>
      </c>
      <c r="F12" s="18">
        <f>-(F6-E6)*Assumptions!B11</f>
        <v>103802169.4214876</v>
      </c>
    </row>
    <row r="13" spans="1:6" x14ac:dyDescent="0.25">
      <c r="A13" s="19" t="s">
        <v>49</v>
      </c>
      <c r="B13" s="20">
        <f>B9+B10+B11+B12</f>
        <v>-339696859.4127951</v>
      </c>
      <c r="C13" s="20">
        <f>C9+C10+C11+C12</f>
        <v>-509545289.1191931</v>
      </c>
      <c r="D13" s="20">
        <f>D9+D10+D11+D12</f>
        <v>-764317933.6787894</v>
      </c>
      <c r="E13" s="20">
        <f>E9+E10+E11+E12</f>
        <v>-1146476900.5181844</v>
      </c>
      <c r="F13" s="20">
        <f>F9+F10+F11+F12</f>
        <v>-1719715350.7772753</v>
      </c>
    </row>
    <row r="14" spans="1:6" x14ac:dyDescent="0.25">
      <c r="A14" t="s">
        <v>50</v>
      </c>
      <c r="B14" s="21">
        <f>1/(1+Assumptions!$B$26)^(1-0.5*Assumptions!$B$32)</f>
        <v>0.9801317724815097</v>
      </c>
      <c r="C14" s="21">
        <f>1/(1+Assumptions!$B$26)^(2-0.5*Assumptions!$B$32)</f>
        <v>0.9415717139261355</v>
      </c>
      <c r="D14" s="21">
        <f>1/(1+Assumptions!$B$26)^(3-0.5*Assumptions!$B$32)</f>
        <v>0.9045286739569758</v>
      </c>
      <c r="E14" s="21">
        <f>1/(1+Assumptions!$B$26)^(4-0.5*Assumptions!$B$32)</f>
        <v>0.8689429704709132</v>
      </c>
      <c r="F14" s="21">
        <f>1/(1+Assumptions!$B$26)^(5-0.5*Assumptions!$B$32)</f>
        <v>0.8347572693607378</v>
      </c>
    </row>
    <row r="15" spans="1:6" x14ac:dyDescent="0.25">
      <c r="A15" s="19" t="s">
        <v>51</v>
      </c>
      <c r="B15" s="20">
        <f>B13*B14</f>
        <v>-332947684.9226651</v>
      </c>
      <c r="C15" s="20">
        <f>C13*C14</f>
        <v>-479773431.19894683</v>
      </c>
      <c r="D15" s="20">
        <f>D13*D14</f>
        <v>-691347487.0320112</v>
      </c>
      <c r="E15" s="20">
        <f>E13*E14</f>
        <v>-996223043.5125568</v>
      </c>
      <c r="F15" s="20">
        <f>F13*F14</f>
        <v>-1435544890.2925818</v>
      </c>
    </row>
    <row r="17" spans="1:2" x14ac:dyDescent="0.25">
      <c r="A17" s="22" t="s">
        <v>52</v>
      </c>
      <c r="B17" s="23">
        <f>SUM(B15:F15)</f>
        <v>-3935836536.958761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-1719715350.7772753</v>
      </c>
    </row>
    <row r="5" spans="1:2" x14ac:dyDescent="0.25">
      <c r="A5" t="s">
        <v>56</v>
      </c>
      <c r="B5" s="18">
        <f>IF(Assumptions!$B$33=0,B4,B4-Forecast!F11-Forecast!F10-Forecast!F12)</f>
        <v>-1838118295.309002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0.16906398637320677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-3935836536.958761</v>
      </c>
    </row>
    <row r="12" spans="1:2" x14ac:dyDescent="0.25">
      <c r="A12" t="s">
        <v>63</v>
      </c>
      <c r="B12" s="18">
        <f>-Assumptions!B30</f>
        <v>-5592000000</v>
      </c>
    </row>
    <row r="13" spans="1:2" x14ac:dyDescent="0.25">
      <c r="A13" t="s">
        <v>64</v>
      </c>
      <c r="B13" s="18">
        <f>B11+B12</f>
        <v>-9527836536.958761</v>
      </c>
    </row>
    <row r="14" spans="1:2" x14ac:dyDescent="0.25">
      <c r="A14" s="19" t="s">
        <v>65</v>
      </c>
      <c r="B14" s="24">
        <f>B13/Assumptions!B31</f>
        <v>-1.1772382536046448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9046860109.003109</v>
      </c>
    </row>
    <row r="18" spans="1:2" x14ac:dyDescent="0.25">
      <c r="A18" t="s">
        <v>60</v>
      </c>
      <c r="B18" s="18">
        <f>B17*Assumptions!B13</f>
        <v>72374880872.02487</v>
      </c>
    </row>
    <row r="19" spans="1:2" x14ac:dyDescent="0.25">
      <c r="A19" t="s">
        <v>61</v>
      </c>
      <c r="B19" s="18">
        <f>B18/(1+Assumptions!B26)^(5-0.5*Assumptions!B32)</f>
        <v>60415457927.04018</v>
      </c>
    </row>
    <row r="20" spans="1:2" x14ac:dyDescent="0.25">
      <c r="A20" t="s">
        <v>62</v>
      </c>
      <c r="B20" s="18">
        <f>Forecast!B17+B19</f>
        <v>56479621390.08141</v>
      </c>
    </row>
    <row r="21" spans="1:2" x14ac:dyDescent="0.25">
      <c r="A21" t="s">
        <v>63</v>
      </c>
      <c r="B21" s="18">
        <f>-Assumptions!B30</f>
        <v>-5592000000</v>
      </c>
    </row>
    <row r="22" spans="1:2" x14ac:dyDescent="0.25">
      <c r="A22" t="s">
        <v>64</v>
      </c>
      <c r="B22" s="18">
        <f>B20+B21</f>
        <v>50887621390.08141</v>
      </c>
    </row>
    <row r="23" spans="1:2" x14ac:dyDescent="0.25">
      <c r="A23" s="19" t="s">
        <v>65</v>
      </c>
      <c r="B23" s="25">
        <f>B22/Assumptions!B31</f>
        <v>6.287561116626356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12.24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-9.234374585100195</v>
      </c>
    </row>
    <row r="29" spans="1:2" x14ac:dyDescent="0.25">
      <c r="A29" s="19" t="s">
        <v>73</v>
      </c>
      <c r="B29" s="12">
        <f>B28/B26-1</f>
        <v>-1.7544423680637413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0.020953</v>
      </c>
      <c r="B5" s="31">
        <v>-1.2084634928056208</v>
      </c>
      <c r="C5" s="31">
        <v>-1.2084634928056208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0.030953</v>
      </c>
      <c r="B6" s="31">
        <v>-1.1924925463612221</v>
      </c>
      <c r="C6" s="31">
        <v>-1.1924925463612221</v>
      </c>
      <c r="D6" s="31">
        <v>-1.1924925463612221</v>
      </c>
      <c r="E6" s="31">
        <v>-1.1924925463612221</v>
      </c>
      <c r="F6" s="31" t="s">
        <v>76</v>
      </c>
    </row>
    <row r="7" spans="1:6" x14ac:dyDescent="0.25">
      <c r="A7" s="30">
        <v>0.040953</v>
      </c>
      <c r="B7" s="31">
        <v>-1.1772380511621352</v>
      </c>
      <c r="C7" s="31">
        <v>-1.1772380511621352</v>
      </c>
      <c r="D7" s="32">
        <v>-1.1772380511621352</v>
      </c>
      <c r="E7" s="31">
        <v>-1.1772380511621352</v>
      </c>
      <c r="F7" s="31">
        <v>-1.1772380511621352</v>
      </c>
    </row>
    <row r="8" spans="1:6" x14ac:dyDescent="0.25">
      <c r="A8" s="30">
        <v>0.050953</v>
      </c>
      <c r="B8" s="31">
        <v>-1.162660162678191</v>
      </c>
      <c r="C8" s="31">
        <v>-1.162660162678191</v>
      </c>
      <c r="D8" s="31">
        <v>-1.162660162678191</v>
      </c>
      <c r="E8" s="31">
        <v>-1.162660162678191</v>
      </c>
      <c r="F8" s="31">
        <v>-1.162660162678191</v>
      </c>
    </row>
    <row r="9" spans="1:6" x14ac:dyDescent="0.25">
      <c r="A9" s="30">
        <v>0.060953</v>
      </c>
      <c r="B9" s="31">
        <v>-1.1487216419973212</v>
      </c>
      <c r="C9" s="31">
        <v>-1.1487216419973212</v>
      </c>
      <c r="D9" s="31">
        <v>-1.1487216419973212</v>
      </c>
      <c r="E9" s="31">
        <v>-1.1487216419973212</v>
      </c>
      <c r="F9" s="31">
        <v>-1.1487216419973212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7443000000</v>
      </c>
      <c r="C5" s="18">
        <v>7080000000</v>
      </c>
      <c r="D5" s="18">
        <v>6534000000</v>
      </c>
      <c r="E5" s="18">
        <v>1605000000</v>
      </c>
      <c r="F5" s="8" t="s">
        <v>85</v>
      </c>
    </row>
    <row r="6" spans="1:6" x14ac:dyDescent="0.25">
      <c r="A6" t="s">
        <v>44</v>
      </c>
      <c r="B6" s="18">
        <v>1290000000</v>
      </c>
      <c r="C6" s="18">
        <v>1386000000</v>
      </c>
      <c r="D6" s="18">
        <v>1249000000</v>
      </c>
      <c r="E6" s="18">
        <v>-1162000000</v>
      </c>
      <c r="F6" s="8" t="s">
        <v>86</v>
      </c>
    </row>
    <row r="7" spans="1:6" x14ac:dyDescent="0.25">
      <c r="A7" t="s">
        <v>87</v>
      </c>
      <c r="B7" s="18">
        <v>792000000</v>
      </c>
      <c r="C7" s="18">
        <v>754000000</v>
      </c>
      <c r="D7" s="18">
        <v>809000000</v>
      </c>
      <c r="E7" s="18">
        <v>750000000</v>
      </c>
      <c r="F7" s="8" t="s">
        <v>88</v>
      </c>
    </row>
    <row r="8" spans="1:6" x14ac:dyDescent="0.25">
      <c r="A8" t="s">
        <v>89</v>
      </c>
      <c r="B8" s="18">
        <v>543000000</v>
      </c>
      <c r="C8" s="18">
        <v>862000000</v>
      </c>
      <c r="D8" s="18">
        <v>215000000</v>
      </c>
      <c r="E8" s="18">
        <v>223000000</v>
      </c>
      <c r="F8" s="8" t="s">
        <v>90</v>
      </c>
    </row>
    <row r="9" spans="1:6" x14ac:dyDescent="0.25">
      <c r="A9" t="s">
        <v>91</v>
      </c>
      <c r="B9" s="18">
        <v>-2000000</v>
      </c>
      <c r="C9" s="18">
        <v>63000000</v>
      </c>
      <c r="D9" s="18">
        <v>-227000000</v>
      </c>
      <c r="E9" s="18">
        <v>75000000</v>
      </c>
      <c r="F9" s="8" t="s">
        <v>92</v>
      </c>
    </row>
    <row r="10" spans="1:6" x14ac:dyDescent="0.25">
      <c r="A10" t="s">
        <v>93</v>
      </c>
      <c r="B10" s="18">
        <v>7097000000</v>
      </c>
      <c r="C10" s="18">
        <v>8159000000</v>
      </c>
      <c r="D10" s="18">
        <v>8328000000</v>
      </c>
      <c r="E10" s="18">
        <v>10219000000</v>
      </c>
      <c r="F10" s="8" t="s">
        <v>94</v>
      </c>
    </row>
    <row r="11" spans="1:6" x14ac:dyDescent="0.25">
      <c r="A11" t="s">
        <v>95</v>
      </c>
      <c r="B11" s="18">
        <v>1505000000</v>
      </c>
      <c r="C11" s="18">
        <v>1970000000</v>
      </c>
      <c r="D11" s="18">
        <v>1361000000</v>
      </c>
      <c r="E11" s="18">
        <v>790000000</v>
      </c>
      <c r="F11" s="8" t="s">
        <v>96</v>
      </c>
    </row>
    <row r="12" spans="1:6" x14ac:dyDescent="0.25">
      <c r="A12" t="s">
        <v>32</v>
      </c>
      <c r="B12" s="34">
        <v>8093380000</v>
      </c>
      <c r="C12" s="34">
        <v>8093379566</v>
      </c>
      <c r="D12" s="34">
        <v>8093475000</v>
      </c>
      <c r="E12" s="34">
        <v>8093189000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1" ht="22" customHeight="1" spans="1:6" x14ac:dyDescent="0.25">
      <c r="A21" s="35" t="s">
        <v>104</v>
      </c>
      <c r="B21" s="35"/>
      <c r="C21" s="35"/>
      <c r="D21" s="35"/>
      <c r="E21" s="35"/>
      <c r="F21" s="35"/>
    </row>
    <row r="23" spans="1:1" x14ac:dyDescent="0.25">
      <c r="A23" s="36" t="s">
        <v>105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