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<sst xmlns="http://schemas.openxmlformats.org/spreadsheetml/2006/main" count="113" uniqueCount="101">
  <si>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Wharf Real Estate Investment Company Limited (1997.HK)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</si>
  <si>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</si>
  <si>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</si>
  <si>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</si>
  <si>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</si>
  <si>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</si>
  <si>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</si>
  <si>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</si>
  <si>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</si>
  <si>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</si>
  <si>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</si>
  <si>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</si>
  <si>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</si>
  <si>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</si>
  <si>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</si>
  <si>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</si>
  <si>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</si>
  <si>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</si>
  <si>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</si>
  <si>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</si>
  <si>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</si>
  <si>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</si>
  <si>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</si>
  <si>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</si>
  <si>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</si>
  <si>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</si>
  <si>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</si>
  <si>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</si>
  <si>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</si>
  <si>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</si>
  <si>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</si>
  <si>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</si>
  <si>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</si>
  <si>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</si>
  <si>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</si>
  <si>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</si>
  <si>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</si>
  <si>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</si>
  <si>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</si>
  <si>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</si>
  <si>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</si>
  <si>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</si>
  <si>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</si>
  <si>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</si>
  <si>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</si>
  <si>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</si>
  <si>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</si>
  <si>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</si>
  <si>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</si>
  <si>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</si>
  <si>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</si>
  <si>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</si>
  <si>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</si>
  <si>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</si>
  <si>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</si>
  <si>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</si>
  <si>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</si>
  <si>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</si>
  <si>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</si>
  <si>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</si>
  <si>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</si>
  <si>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</si>
  <si>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</si>
  <si>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</si>
  <si>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</si>
  <si>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</si>
  <si>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</si>
  <si>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</si>
  <si>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</si>
  <si>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</si>
  <si>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</si>
  <si>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</si>
  <si>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</si>
  <si>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</si>
  <si>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</si>
  <si>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</si>
  <si>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</si>
  <si>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</si>
  <si>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</si>
  <si>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</si>
  <si>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</si>
  <si>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</si>
  <si>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</si>
  <si>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</si>
  <si>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</si>
  <si>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</si>
  <si>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</si>
  <si>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</si>
  <si>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</si>
  <si>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</si>
  <si>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</si>
  <si>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</si>
  <si>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</si>
  <si>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</si>
  <si>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</si>
  <si>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</si>
  <si>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</si>
  <si>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</si>
  <si>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0.32% of revenue, which is too low to be the company's real investment - property trusts and similar structures invest through lines that are not reported as capex. Capex has been set to 1.94% of revenue so the forecast is not handed free growth. Override it if the reported figure is right.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</si>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</sst>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0.009435269633323529</v>
      </c>
    </row>
    <row r="7" spans="1:2" x14ac:dyDescent="0.25">
      <c r="A7" t="s">
        <v>5</v>
      </c>
      <c r="B7" s="6">
        <v>0.7351749810580172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0.019413629463659626</v>
      </c>
    </row>
    <row r="10" spans="1:2" x14ac:dyDescent="0.25">
      <c r="A10" t="s">
        <v>8</v>
      </c>
      <c r="B10" s="6">
        <v>0.019413629463659626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12.992926210350584</v>
      </c>
    </row>
    <row r="14" spans="1:3" x14ac:dyDescent="0.25">
      <c r="A14" t="s">
        <v>12</v>
      </c>
      <c r="B14" s="6">
        <v>0.07774614741623329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0.89012</v>
      </c>
      <c r="C19" s="8" t="s">
        <v>19</v>
      </c>
    </row>
    <row r="20" spans="1:2" x14ac:dyDescent="0.25">
      <c r="A20" t="s">
        <v>20</v>
      </c>
      <c r="B20" s="10">
        <f>B17+B19*B18</f>
        <v>0.09430840000000001</v>
      </c>
    </row>
    <row r="21" spans="1:3" x14ac:dyDescent="0.25">
      <c r="A21" t="s">
        <v>21</v>
      </c>
      <c r="B21" s="6">
        <v>0.03913787401688019</v>
      </c>
      <c r="C21" s="8" t="s">
        <v>22</v>
      </c>
    </row>
    <row r="22" spans="1:2" x14ac:dyDescent="0.25">
      <c r="A22" t="s">
        <v>23</v>
      </c>
      <c r="B22" s="11">
        <v>92544204800</v>
      </c>
    </row>
    <row r="23" spans="1:2" x14ac:dyDescent="0.25">
      <c r="A23" t="s">
        <v>24</v>
      </c>
      <c r="B23" s="11">
        <v>34011000000</v>
      </c>
    </row>
    <row r="24" spans="1:2" x14ac:dyDescent="0.25">
      <c r="A24" t="s">
        <v>25</v>
      </c>
      <c r="B24" s="10">
        <f>B22/(B22+B23)</f>
        <v>0.7312556203931013</v>
      </c>
    </row>
    <row r="25" spans="1:2" x14ac:dyDescent="0.25">
      <c r="A25" t="s">
        <v>26</v>
      </c>
      <c r="B25" s="10">
        <f>1-B24</f>
        <v>0.2687443796068987</v>
      </c>
    </row>
    <row r="26" spans="1:2" x14ac:dyDescent="0.25">
      <c r="A26" t="s">
        <v>27</v>
      </c>
      <c r="B26" s="12">
        <f>B24*B20+B25*B21*(1-B8)</f>
        <v>0.07774614741623329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12815000000</v>
      </c>
      <c r="C29" s="8" t="s">
        <v>30</v>
      </c>
    </row>
    <row r="30" spans="1:2" x14ac:dyDescent="0.25">
      <c r="A30" t="s">
        <v>31</v>
      </c>
      <c r="B30" s="11">
        <v>31980000000</v>
      </c>
    </row>
    <row r="31" spans="1:2" x14ac:dyDescent="0.25">
      <c r="A31" t="s">
        <v>32</v>
      </c>
      <c r="B31" s="13">
        <v>3036000000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0.009435269633323529</v>
      </c>
      <c r="C5" s="10">
        <f>Assumptions!B6</f>
        <v>0.009435269633323529</v>
      </c>
      <c r="D5" s="10">
        <f>Assumptions!B6</f>
        <v>0.009435269633323529</v>
      </c>
      <c r="E5" s="10">
        <f>Assumptions!B6</f>
        <v>0.009435269633323529</v>
      </c>
      <c r="F5" s="10">
        <f>Assumptions!B6</f>
        <v>0.009435269633323529</v>
      </c>
    </row>
    <row r="6" spans="1:6" x14ac:dyDescent="0.25">
      <c r="A6" t="s">
        <v>43</v>
      </c>
      <c r="B6" s="18">
        <f>Assumptions!B29*(1+B5)</f>
        <v>12935912980.351042</v>
      </c>
      <c r="C6" s="18">
        <f>B6*(1+C5)</f>
        <v>13057966807.273863</v>
      </c>
      <c r="D6" s="18">
        <f>C6*(1+D5)</f>
        <v>13181172244.96348</v>
      </c>
      <c r="E6" s="18">
        <f>D6*(1+E5)</f>
        <v>13305540159.17799</v>
      </c>
      <c r="F6" s="18">
        <f>E6*(1+F5)</f>
        <v>13431081518.196848</v>
      </c>
    </row>
    <row r="7" spans="1:6" x14ac:dyDescent="0.25">
      <c r="A7" t="s">
        <v>5</v>
      </c>
      <c r="B7" s="10">
        <f>Assumptions!B7</f>
        <v>0.7351749810580172</v>
      </c>
      <c r="C7" s="10">
        <f>Assumptions!B7</f>
        <v>0.7351749810580172</v>
      </c>
      <c r="D7" s="10">
        <f>Assumptions!B7</f>
        <v>0.7351749810580172</v>
      </c>
      <c r="E7" s="10">
        <f>Assumptions!B7</f>
        <v>0.7351749810580172</v>
      </c>
      <c r="F7" s="10">
        <f>Assumptions!B7</f>
        <v>0.7351749810580172</v>
      </c>
    </row>
    <row r="8" spans="1:6" x14ac:dyDescent="0.25">
      <c r="A8" t="s">
        <v>44</v>
      </c>
      <c r="B8" s="18">
        <f>B6*B7</f>
        <v>9510159580.297735</v>
      </c>
      <c r="C8" s="18">
        <f>C6*C7</f>
        <v>9599890500.193779</v>
      </c>
      <c r="D8" s="18">
        <f>D6*D7</f>
        <v>9690468055.513489</v>
      </c>
      <c r="E8" s="18">
        <f>E6*E7</f>
        <v>9781900234.490366</v>
      </c>
      <c r="F8" s="18">
        <f>F6*F7</f>
        <v>9874195100.729052</v>
      </c>
    </row>
    <row r="9" spans="1:6" x14ac:dyDescent="0.25">
      <c r="A9" t="s">
        <v>45</v>
      </c>
      <c r="B9" s="18">
        <f>B8*(1-Assumptions!B8)</f>
        <v>7940983249.548609</v>
      </c>
      <c r="C9" s="18">
        <f>C8*(1-Assumptions!B8)</f>
        <v>8015908567.661805</v>
      </c>
      <c r="D9" s="18">
        <f>D8*(1-Assumptions!B8)</f>
        <v>8091540826.353763</v>
      </c>
      <c r="E9" s="18">
        <f>E8*(1-Assumptions!B8)</f>
        <v>8167886695.799456</v>
      </c>
      <c r="F9" s="18">
        <f>F8*(1-Assumptions!B8)</f>
        <v>8244952909.108758</v>
      </c>
    </row>
    <row r="10" spans="1:6" x14ac:dyDescent="0.25">
      <c r="A10" t="s">
        <v>46</v>
      </c>
      <c r="B10" s="18">
        <f>B6*Assumptions!B9</f>
        <v>251133021.37467998</v>
      </c>
      <c r="C10" s="18">
        <f>C6*Assumptions!B9</f>
        <v>253502529.1451813</v>
      </c>
      <c r="D10" s="18">
        <f>D6*Assumptions!B9</f>
        <v>255894393.86039552</v>
      </c>
      <c r="E10" s="18">
        <f>E6*Assumptions!B9</f>
        <v>258308826.46412423</v>
      </c>
      <c r="F10" s="18">
        <f>F6*Assumptions!B9</f>
        <v>260746039.89048058</v>
      </c>
    </row>
    <row r="11" spans="1:6" x14ac:dyDescent="0.25">
      <c r="A11" t="s">
        <v>47</v>
      </c>
      <c r="B11" s="18">
        <f>-B6*Assumptions!B10</f>
        <v>-251133021.37467998</v>
      </c>
      <c r="C11" s="18">
        <f>-C6*Assumptions!B10</f>
        <v>-253502529.1451813</v>
      </c>
      <c r="D11" s="18">
        <f>-D6*Assumptions!B10</f>
        <v>-255894393.86039552</v>
      </c>
      <c r="E11" s="18">
        <f>-E6*Assumptions!B10</f>
        <v>-258308826.46412423</v>
      </c>
      <c r="F11" s="18">
        <f>-F6*Assumptions!B10</f>
        <v>-260746039.89048058</v>
      </c>
    </row>
    <row r="12" spans="1:6" x14ac:dyDescent="0.25">
      <c r="A12" t="s">
        <v>48</v>
      </c>
      <c r="B12" s="18">
        <f>-(B6-Assumptions!B29)*Assumptions!B11</f>
        <v>120912980.3510418</v>
      </c>
      <c r="C12" s="18">
        <f>-(C6-B6)*Assumptions!B11</f>
        <v>122053826.92282104</v>
      </c>
      <c r="D12" s="18">
        <f>-(D6-C6)*Assumptions!B11</f>
        <v>123205437.68961716</v>
      </c>
      <c r="E12" s="18">
        <f>-(E6-D6)*Assumptions!B11</f>
        <v>124367914.21450996</v>
      </c>
      <c r="F12" s="18">
        <f>-(F6-E6)*Assumptions!B11</f>
        <v>125541359.01885796</v>
      </c>
    </row>
    <row r="13" spans="1:6" x14ac:dyDescent="0.25">
      <c r="A13" s="19" t="s">
        <v>49</v>
      </c>
      <c r="B13" s="20">
        <f>B9+B10+B11+B12</f>
        <v>8061896229.899651</v>
      </c>
      <c r="C13" s="20">
        <f>C9+C10+C11+C12</f>
        <v>8137962394.584626</v>
      </c>
      <c r="D13" s="20">
        <f>D9+D10+D11+D12</f>
        <v>8214746264.04338</v>
      </c>
      <c r="E13" s="20">
        <f>E9+E10+E11+E12</f>
        <v>8292254610.013966</v>
      </c>
      <c r="F13" s="20">
        <f>F9+F10+F11+F12</f>
        <v>8370494268.127616</v>
      </c>
    </row>
    <row r="14" spans="1:6" x14ac:dyDescent="0.25">
      <c r="A14" t="s">
        <v>50</v>
      </c>
      <c r="B14" s="21">
        <f>1/(1+Assumptions!$B$26)^(1-0.5*Assumptions!$B$32)</f>
        <v>0.9632560834088889</v>
      </c>
      <c r="C14" s="21">
        <f>1/(1+Assumptions!$B$26)^(2-0.5*Assumptions!$B$32)</f>
        <v>0.893768987918147</v>
      </c>
      <c r="D14" s="21">
        <f>1/(1+Assumptions!$B$26)^(3-0.5*Assumptions!$B$32)</f>
        <v>0.829294532910974</v>
      </c>
      <c r="E14" s="21">
        <f>1/(1+Assumptions!$B$26)^(4-0.5*Assumptions!$B$32)</f>
        <v>0.7694711179428549</v>
      </c>
      <c r="F14" s="21">
        <f>1/(1+Assumptions!$B$26)^(5-0.5*Assumptions!$B$32)</f>
        <v>0.7139632276000887</v>
      </c>
    </row>
    <row r="15" spans="1:6" x14ac:dyDescent="0.25">
      <c r="A15" s="19" t="s">
        <v>51</v>
      </c>
      <c r="B15" s="20">
        <f>B13*B14</f>
        <v>7765670587.262025</v>
      </c>
      <c r="C15" s="20">
        <f>C13*C14</f>
        <v>7273458413.123841</v>
      </c>
      <c r="D15" s="20">
        <f>D13*D14</f>
        <v>6812444166.022023</v>
      </c>
      <c r="E15" s="20">
        <f>E13*E14</f>
        <v>6380650425.034239</v>
      </c>
      <c r="F15" s="20">
        <f>F13*F14</f>
        <v>5976225104.280435</v>
      </c>
    </row>
    <row r="17" spans="1:2" x14ac:dyDescent="0.25">
      <c r="A17" s="22" t="s">
        <v>52</v>
      </c>
      <c r="B17" s="23">
        <f>SUM(B15:F15)</f>
        <v>34208448695.722565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8370494268.127616</v>
      </c>
    </row>
    <row r="5" spans="1:2" x14ac:dyDescent="0.25">
      <c r="A5" t="s">
        <v>56</v>
      </c>
      <c r="B5" s="18">
        <f>IF(Assumptions!$B$33=0,B4,B4-Forecast!F11-Forecast!F10-Forecast!F12)</f>
        <v>8244952909.108758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0.3215593419202665</v>
      </c>
    </row>
    <row r="7" spans="1:2" x14ac:dyDescent="0.25">
      <c r="A7" t="s">
        <v>58</v>
      </c>
      <c r="B7" s="18">
        <f>-MAX(Forecast!F9,0)*B6</f>
        <v>-2651241631.6165986</v>
      </c>
    </row>
    <row r="8" spans="1:2" x14ac:dyDescent="0.25">
      <c r="A8" t="s">
        <v>59</v>
      </c>
      <c r="B8" s="18">
        <f>IF(OR(Assumptions!$B$33=0,Assumptions!B12&lt;=0),B5,MAX(B5+B7,0))</f>
        <v>5593711277.492159</v>
      </c>
    </row>
    <row r="9" spans="1:2" x14ac:dyDescent="0.25">
      <c r="A9" t="s">
        <v>60</v>
      </c>
      <c r="B9" s="18">
        <f>B8*(1+Assumptions!B12)/(Assumptions!B26-Assumptions!B12)</f>
        <v>108700906896.28053</v>
      </c>
    </row>
    <row r="10" spans="1:2" x14ac:dyDescent="0.25">
      <c r="A10" t="s">
        <v>61</v>
      </c>
      <c r="B10" s="18">
        <f>B9/(1+Assumptions!B26)^(5-0.5*Assumptions!B32)</f>
        <v>77608450330.72519</v>
      </c>
    </row>
    <row r="11" spans="1:2" x14ac:dyDescent="0.25">
      <c r="A11" t="s">
        <v>62</v>
      </c>
      <c r="B11" s="18">
        <f>Forecast!B17+B10</f>
        <v>111816899026.44775</v>
      </c>
    </row>
    <row r="12" spans="1:2" x14ac:dyDescent="0.25">
      <c r="A12" t="s">
        <v>63</v>
      </c>
      <c r="B12" s="18">
        <f>-Assumptions!B30</f>
        <v>-31980000000</v>
      </c>
    </row>
    <row r="13" spans="1:2" x14ac:dyDescent="0.25">
      <c r="A13" t="s">
        <v>64</v>
      </c>
      <c r="B13" s="18">
        <f>B11+B12</f>
        <v>79836899026.44775</v>
      </c>
    </row>
    <row r="14" spans="1:2" x14ac:dyDescent="0.25">
      <c r="A14" s="19" t="s">
        <v>65</v>
      </c>
      <c r="B14" s="24">
        <f>B13/Assumptions!B31</f>
        <v>26.2967388097654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10134941140.619532</v>
      </c>
    </row>
    <row r="18" spans="1:2" x14ac:dyDescent="0.25">
      <c r="A18" t="s">
        <v>60</v>
      </c>
      <c r="B18" s="18">
        <f>B17*Assumptions!B13</f>
        <v>131682542386.31595</v>
      </c>
    </row>
    <row r="19" spans="1:2" x14ac:dyDescent="0.25">
      <c r="A19" t="s">
        <v>61</v>
      </c>
      <c r="B19" s="18">
        <f>B18/(1+Assumptions!B26)^(5-0.5*Assumptions!B32)</f>
        <v>94016492980.71962</v>
      </c>
    </row>
    <row r="20" spans="1:2" x14ac:dyDescent="0.25">
      <c r="A20" t="s">
        <v>62</v>
      </c>
      <c r="B20" s="18">
        <f>Forecast!B17+B19</f>
        <v>128224941676.44218</v>
      </c>
    </row>
    <row r="21" spans="1:2" x14ac:dyDescent="0.25">
      <c r="A21" t="s">
        <v>63</v>
      </c>
      <c r="B21" s="18">
        <f>-Assumptions!B30</f>
        <v>-31980000000</v>
      </c>
    </row>
    <row r="22" spans="1:2" x14ac:dyDescent="0.25">
      <c r="A22" t="s">
        <v>64</v>
      </c>
      <c r="B22" s="18">
        <f>B20+B21</f>
        <v>96244941676.44218</v>
      </c>
    </row>
    <row r="23" spans="1:2" x14ac:dyDescent="0.25">
      <c r="A23" s="19" t="s">
        <v>65</v>
      </c>
      <c r="B23" s="25">
        <f>B22/Assumptions!B31</f>
        <v>31.70123243624578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30.48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26.2967388097654</v>
      </c>
    </row>
    <row r="29" spans="1:2" x14ac:dyDescent="0.25">
      <c r="A29" s="19" t="s">
        <v>73</v>
      </c>
      <c r="B29" s="12">
        <f>B28/B26-1</f>
        <v>-0.13724610204181753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0.057746</v>
      </c>
      <c r="B5" s="31">
        <v>38.32727809735806</v>
      </c>
      <c r="C5" s="31">
        <v>38.50992749639659</v>
      </c>
      <c r="D5" s="31">
        <v>38.692576895435124</v>
      </c>
      <c r="E5" s="31">
        <v>38.87522629447367</v>
      </c>
      <c r="F5" s="31">
        <v>39.057875693512194</v>
      </c>
    </row>
    <row r="6" spans="1:6" x14ac:dyDescent="0.25">
      <c r="A6" s="30">
        <v>0.067746</v>
      </c>
      <c r="B6" s="31">
        <v>31.281081526407522</v>
      </c>
      <c r="C6" s="31">
        <v>31.4303152480476</v>
      </c>
      <c r="D6" s="31">
        <v>31.579548969687668</v>
      </c>
      <c r="E6" s="31">
        <v>31.728782691327744</v>
      </c>
      <c r="F6" s="31">
        <v>31.878016412967813</v>
      </c>
    </row>
    <row r="7" spans="1:6" x14ac:dyDescent="0.25">
      <c r="A7" s="30">
        <v>0.077746</v>
      </c>
      <c r="B7" s="31">
        <v>26.047413545076786</v>
      </c>
      <c r="C7" s="31">
        <v>26.17211010546709</v>
      </c>
      <c r="D7" s="32">
        <v>26.29680666585739</v>
      </c>
      <c r="E7" s="31">
        <v>26.421503226247694</v>
      </c>
      <c r="F7" s="31">
        <v>26.546199786638002</v>
      </c>
    </row>
    <row r="8" spans="1:6" x14ac:dyDescent="0.25">
      <c r="A8" s="30">
        <v>0.087746</v>
      </c>
      <c r="B8" s="31">
        <v>22.006561106752333</v>
      </c>
      <c r="C8" s="31">
        <v>22.112548780858653</v>
      </c>
      <c r="D8" s="31">
        <v>22.21853645496497</v>
      </c>
      <c r="E8" s="31">
        <v>22.324524129071282</v>
      </c>
      <c r="F8" s="31">
        <v>22.430511803177602</v>
      </c>
    </row>
    <row r="9" spans="1:6" x14ac:dyDescent="0.25">
      <c r="A9" s="30">
        <v>0.097746</v>
      </c>
      <c r="B9" s="31">
        <v>18.79241363130959</v>
      </c>
      <c r="C9" s="31">
        <v>18.883719572544912</v>
      </c>
      <c r="D9" s="31">
        <v>18.975025513780235</v>
      </c>
      <c r="E9" s="31">
        <v>19.066331455015558</v>
      </c>
      <c r="F9" s="31">
        <v>19.15763739625087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12815000000</v>
      </c>
      <c r="C5" s="18">
        <v>12912000000</v>
      </c>
      <c r="D5" s="18">
        <v>13306000000</v>
      </c>
      <c r="E5" s="18">
        <v>12459000000</v>
      </c>
      <c r="F5" s="8" t="s">
        <v>84</v>
      </c>
    </row>
    <row r="6" spans="1:6" x14ac:dyDescent="0.25">
      <c r="A6" t="s">
        <v>44</v>
      </c>
      <c r="B6" s="18">
        <v>9349000000</v>
      </c>
      <c r="C6" s="18">
        <v>9691000000</v>
      </c>
      <c r="D6" s="18">
        <v>9993000000</v>
      </c>
      <c r="E6" s="18">
        <v>8841000000</v>
      </c>
      <c r="F6" s="8" t="s">
        <v>85</v>
      </c>
    </row>
    <row r="7" spans="1:6" x14ac:dyDescent="0.25">
      <c r="A7" t="s">
        <v>86</v>
      </c>
      <c r="B7" s="18">
        <v>235000000</v>
      </c>
      <c r="C7" s="18">
        <v>237000000</v>
      </c>
      <c r="D7" s="18">
        <v>246000000</v>
      </c>
      <c r="E7" s="18">
        <v>280000000</v>
      </c>
      <c r="F7" s="8" t="s">
        <v>87</v>
      </c>
    </row>
    <row r="8" spans="1:6" x14ac:dyDescent="0.25">
      <c r="A8" t="s">
        <v>88</v>
      </c>
      <c r="B8" s="18">
        <v>41000000</v>
      </c>
      <c r="C8" s="18">
        <v>41000000</v>
      </c>
      <c r="D8" s="18">
        <v>50000000</v>
      </c>
      <c r="E8" s="18">
        <v>35000000</v>
      </c>
      <c r="F8" s="8" t="s">
        <v>89</v>
      </c>
    </row>
    <row r="9" spans="1:6" x14ac:dyDescent="0.25">
      <c r="A9" t="s">
        <v>90</v>
      </c>
      <c r="B9" s="18">
        <v>198000000</v>
      </c>
      <c r="C9" s="18">
        <v>429000000</v>
      </c>
      <c r="D9" s="18">
        <v>782000000</v>
      </c>
      <c r="E9" s="18">
        <v>121000000</v>
      </c>
      <c r="F9" s="8" t="s">
        <v>91</v>
      </c>
    </row>
    <row r="10" spans="1:6" x14ac:dyDescent="0.25">
      <c r="A10" t="s">
        <v>92</v>
      </c>
      <c r="B10" s="18">
        <v>34011000000</v>
      </c>
      <c r="C10" s="18">
        <v>35538000000</v>
      </c>
      <c r="D10" s="18">
        <v>37425000000</v>
      </c>
      <c r="E10" s="18">
        <v>46489000000</v>
      </c>
      <c r="F10" s="8" t="s">
        <v>93</v>
      </c>
    </row>
    <row r="11" spans="1:6" x14ac:dyDescent="0.25">
      <c r="A11" t="s">
        <v>94</v>
      </c>
      <c r="B11" s="18">
        <v>2031000000</v>
      </c>
      <c r="C11" s="18">
        <v>1308000000</v>
      </c>
      <c r="D11" s="18">
        <v>1124000000</v>
      </c>
      <c r="E11" s="18">
        <v>1340000000</v>
      </c>
      <c r="F11" s="8" t="s">
        <v>95</v>
      </c>
    </row>
    <row r="12" spans="1:6" x14ac:dyDescent="0.25">
      <c r="A12" t="s">
        <v>32</v>
      </c>
      <c r="B12" s="34">
        <v>3036000000</v>
      </c>
      <c r="C12" s="34">
        <v>3036000000</v>
      </c>
      <c r="D12" s="34">
        <v>3036000000</v>
      </c>
      <c r="E12" s="34">
        <v>3036000000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