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<sst xmlns="http://schemas.openxmlformats.org/spreadsheetml/2006/main" count="115" uniqueCount="103">
  <si>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Li Auto Inc. (2015.HK)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</si>
  <si>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</si>
  <si>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</si>
  <si>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</si>
  <si>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</si>
  <si>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</si>
  <si>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</si>
  <si>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</si>
  <si>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</si>
  <si>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</si>
  <si>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</si>
  <si>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</si>
  <si>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</si>
  <si>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</si>
  <si>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</si>
  <si>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</si>
  <si>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</si>
  <si>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</si>
  <si>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</si>
  <si>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</si>
  <si>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</si>
  <si>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</si>
  <si>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</si>
  <si>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</si>
  <si>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</si>
  <si>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</si>
  <si>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</si>
  <si>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</si>
  <si>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</si>
  <si>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</si>
  <si>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</si>
  <si>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</si>
  <si>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</si>
  <si>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</si>
  <si>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</si>
  <si>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</si>
  <si>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</si>
  <si>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</si>
  <si>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</si>
  <si>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</si>
  <si>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</si>
  <si>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</si>
  <si>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</si>
  <si>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</si>
  <si>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</si>
  <si>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</si>
  <si>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</si>
  <si>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</si>
  <si>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</si>
  <si>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</si>
  <si>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</si>
  <si>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</si>
  <si>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</si>
  <si>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</si>
  <si>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</si>
  <si>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</si>
  <si>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</si>
  <si>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</si>
  <si>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</si>
  <si>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</si>
  <si>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</si>
  <si>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</si>
  <si>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</si>
  <si>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</si>
  <si>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</si>
  <si>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</si>
  <si>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</si>
  <si>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</si>
  <si>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</si>
  <si>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</si>
  <si>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</si>
  <si>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</si>
  <si>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</si>
  <si>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</si>
  <si>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</si>
  <si>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</si>
  <si>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</si>
  <si>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</si>
  <si>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</si>
  <si>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</si>
  <si>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</si>
  <si>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</si>
  <si>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</si>
  <si>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</si>
  <si>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</si>
  <si>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</si>
  <si>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</si>
  <si>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</si>
  <si>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</si>
  <si>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</si>
  <si>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</si>
  <si>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</si>
  <si>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</si>
  <si>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</si>
  <si>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</si>
  <si>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</si>
  <si>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</si>
  <si>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</si>
  <si>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</si>
  <si>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6.4% of revenue against depreciation of 2.6%.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</si>
  <si>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</si>
  <si>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Current EV/EBITDA of 2.4x sits outside a defensible 3-20x band, so the exit multiple is capped at 3.0x.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</si>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</sst>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0.3535847406254444</v>
      </c>
    </row>
    <row r="7" spans="1:2" x14ac:dyDescent="0.25">
      <c r="A7" t="s">
        <v>5</v>
      </c>
      <c r="B7" s="6">
        <v>0.005762062268013065</v>
      </c>
    </row>
    <row r="8" spans="1:2" x14ac:dyDescent="0.25">
      <c r="A8" t="s">
        <v>6</v>
      </c>
      <c r="B8" s="6">
        <v>0.12897563780326057</v>
      </c>
    </row>
    <row r="9" spans="1:2" x14ac:dyDescent="0.25">
      <c r="A9" t="s">
        <v>7</v>
      </c>
      <c r="B9" s="6">
        <v>0.025953675597143337</v>
      </c>
    </row>
    <row r="10" spans="1:2" x14ac:dyDescent="0.25">
      <c r="A10" t="s">
        <v>8</v>
      </c>
      <c r="B10" s="6">
        <v>0.06418162780375347</v>
      </c>
    </row>
    <row r="11" spans="1:2" x14ac:dyDescent="0.25">
      <c r="A11" t="s">
        <v>9</v>
      </c>
      <c r="B11" s="6">
        <v>-0.4660141481683665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0.08538707911709743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0.68979</v>
      </c>
      <c r="C19" s="8" t="s">
        <v>19</v>
      </c>
    </row>
    <row r="20" spans="1:2" x14ac:dyDescent="0.25">
      <c r="A20" t="s">
        <v>20</v>
      </c>
      <c r="B20" s="10">
        <f>B17+B19*B18</f>
        <v>0.0802853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92958351360</v>
      </c>
    </row>
    <row r="23" spans="1:2" x14ac:dyDescent="0.25">
      <c r="A23" t="s">
        <v>24</v>
      </c>
      <c r="B23" s="11">
        <v>17814767000</v>
      </c>
    </row>
    <row r="24" spans="1:2" x14ac:dyDescent="0.25">
      <c r="A24" t="s">
        <v>25</v>
      </c>
      <c r="B24" s="10">
        <f>B22/(B22+B23)</f>
        <v>0.8391778866231423</v>
      </c>
    </row>
    <row r="25" spans="1:2" x14ac:dyDescent="0.25">
      <c r="A25" t="s">
        <v>26</v>
      </c>
      <c r="B25" s="10">
        <f>1-B24</f>
        <v>0.1608221133768577</v>
      </c>
    </row>
    <row r="26" spans="1:2" x14ac:dyDescent="0.25">
      <c r="A26" t="s">
        <v>27</v>
      </c>
      <c r="B26" s="12">
        <f>B24*B20+B25*B21*(1-B8)</f>
        <v>0.07185620770030367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112312511000</v>
      </c>
      <c r="C29" s="8" t="s">
        <v>30</v>
      </c>
    </row>
    <row r="30" spans="1:2" x14ac:dyDescent="0.25">
      <c r="A30" t="s">
        <v>31</v>
      </c>
      <c r="B30" s="11">
        <v>-83208405000</v>
      </c>
    </row>
    <row r="31" spans="1:2" x14ac:dyDescent="0.25">
      <c r="A31" t="s">
        <v>32</v>
      </c>
      <c r="B31" s="13">
        <v>2142727527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0.3535847406254444</v>
      </c>
      <c r="C5" s="10">
        <f>Assumptions!B6</f>
        <v>0.3535847406254444</v>
      </c>
      <c r="D5" s="10">
        <f>Assumptions!B6</f>
        <v>0.3535847406254444</v>
      </c>
      <c r="E5" s="10">
        <f>Assumptions!B6</f>
        <v>0.3535847406254444</v>
      </c>
      <c r="F5" s="10">
        <f>Assumptions!B6</f>
        <v>0.3535847406254444</v>
      </c>
    </row>
    <row r="6" spans="1:6" x14ac:dyDescent="0.25">
      <c r="A6" t="s">
        <v>43</v>
      </c>
      <c r="B6" s="18">
        <f>Assumptions!B29*(1+B5)</f>
        <v>152024501070.92737</v>
      </c>
      <c r="C6" s="18">
        <f>B6*(1+C5)</f>
        <v>205778044850.80383</v>
      </c>
      <c r="D6" s="18">
        <f>C6*(1+D5)</f>
        <v>278538021465.7864</v>
      </c>
      <c r="E6" s="18">
        <f>D6*(1+E5)</f>
        <v>377024815540.09094</v>
      </c>
      <c r="F6" s="18">
        <f>E6*(1+F5)</f>
        <v>510335037152.19</v>
      </c>
    </row>
    <row r="7" spans="1:6" x14ac:dyDescent="0.25">
      <c r="A7" t="s">
        <v>5</v>
      </c>
      <c r="B7" s="10">
        <f>Assumptions!B7</f>
        <v>0.005762062268013065</v>
      </c>
      <c r="C7" s="10">
        <f>Assumptions!B7</f>
        <v>0.005762062268013065</v>
      </c>
      <c r="D7" s="10">
        <f>Assumptions!B7</f>
        <v>0.005762062268013065</v>
      </c>
      <c r="E7" s="10">
        <f>Assumptions!B7</f>
        <v>0.005762062268013065</v>
      </c>
      <c r="F7" s="10">
        <f>Assumptions!B7</f>
        <v>0.005762062268013065</v>
      </c>
    </row>
    <row r="8" spans="1:6" x14ac:dyDescent="0.25">
      <c r="A8" t="s">
        <v>44</v>
      </c>
      <c r="B8" s="18">
        <f>B6*B7</f>
        <v>875974641.4343023</v>
      </c>
      <c r="C8" s="18">
        <f>C6*C7</f>
        <v>1185705907.820317</v>
      </c>
      <c r="D8" s="18">
        <f>D6*D7</f>
        <v>1604953423.695021</v>
      </c>
      <c r="E8" s="18">
        <f>E6*E7</f>
        <v>2172440463.7281437</v>
      </c>
      <c r="F8" s="18">
        <f>F6*F7</f>
        <v>2940582261.61968</v>
      </c>
    </row>
    <row r="9" spans="1:6" x14ac:dyDescent="0.25">
      <c r="A9" t="s">
        <v>45</v>
      </c>
      <c r="B9" s="18">
        <f>B8*(1-Assumptions!B8)</f>
        <v>762995253.3558307</v>
      </c>
      <c r="C9" s="18">
        <f>C8*(1-Assumptions!B8)</f>
        <v>1032778732.1120975</v>
      </c>
      <c r="D9" s="18">
        <f>D8*(1-Assumptions!B8)</f>
        <v>1397953532.2294288</v>
      </c>
      <c r="E9" s="18">
        <f>E8*(1-Assumptions!B8)</f>
        <v>1892248569.329195</v>
      </c>
      <c r="F9" s="18">
        <f>F8*(1-Assumptions!B8)</f>
        <v>2561318788.914327</v>
      </c>
    </row>
    <row r="10" spans="1:6" x14ac:dyDescent="0.25">
      <c r="A10" t="s">
        <v>46</v>
      </c>
      <c r="B10" s="18">
        <f>B6*Assumptions!B9</f>
        <v>3945594583.6124187</v>
      </c>
      <c r="C10" s="18">
        <f>C6*Assumptions!B9</f>
        <v>5340696621.072175</v>
      </c>
      <c r="D10" s="18">
        <f>D6*Assumptions!B9</f>
        <v>7229085450.593167</v>
      </c>
      <c r="E10" s="18">
        <f>E6*Assumptions!B9</f>
        <v>9785179754.600327</v>
      </c>
      <c r="F10" s="18">
        <f>F6*Assumptions!B9</f>
        <v>13245070000.104033</v>
      </c>
    </row>
    <row r="11" spans="1:6" x14ac:dyDescent="0.25">
      <c r="A11" t="s">
        <v>47</v>
      </c>
      <c r="B11" s="18">
        <f>-B6*Assumptions!B10</f>
        <v>-9757179944.785582</v>
      </c>
      <c r="C11" s="18">
        <f>-C6*Assumptions!B10</f>
        <v>-13207169884.79838</v>
      </c>
      <c r="D11" s="18">
        <f>-D6*Assumptions!B10</f>
        <v>-17877023622.910995</v>
      </c>
      <c r="E11" s="18">
        <f>-E6*Assumptions!B10</f>
        <v>-24198066383.772926</v>
      </c>
      <c r="F11" s="18">
        <f>-F6*Assumptions!B10</f>
        <v>-32754133409.71656</v>
      </c>
    </row>
    <row r="12" spans="1:6" x14ac:dyDescent="0.25">
      <c r="A12" t="s">
        <v>48</v>
      </c>
      <c r="B12" s="18">
        <f>-(B6-Assumptions!B29)*Assumptions!B11</f>
        <v>18506349224.973846</v>
      </c>
      <c r="C12" s="18">
        <f>-(C6-B6)*Assumptions!B11</f>
        <v>25049911915.610126</v>
      </c>
      <c r="D12" s="18">
        <f>-(D6-C6)*Assumptions!B11</f>
        <v>33907178522.981358</v>
      </c>
      <c r="E12" s="18">
        <f>-(E6-D6)*Assumptions!B11</f>
        <v>45896239446.37037</v>
      </c>
      <c r="F12" s="18">
        <f>-(F6-E6)*Assumptions!B11</f>
        <v>62124449366.69851</v>
      </c>
    </row>
    <row r="13" spans="1:6" x14ac:dyDescent="0.25">
      <c r="A13" s="19" t="s">
        <v>49</v>
      </c>
      <c r="B13" s="20">
        <f>B9+B10+B11+B12</f>
        <v>13457759117.156513</v>
      </c>
      <c r="C13" s="20">
        <f>C9+C10+C11+C12</f>
        <v>18216217383.996017</v>
      </c>
      <c r="D13" s="20">
        <f>D9+D10+D11+D12</f>
        <v>24657193882.89296</v>
      </c>
      <c r="E13" s="20">
        <f>E9+E10+E11+E12</f>
        <v>33375601386.526962</v>
      </c>
      <c r="F13" s="20">
        <f>F9+F10+F11+F12</f>
        <v>45176704746.000305</v>
      </c>
    </row>
    <row r="14" spans="1:6" x14ac:dyDescent="0.25">
      <c r="A14" t="s">
        <v>50</v>
      </c>
      <c r="B14" s="21">
        <f>1/(1+Assumptions!$B$26)^(1-0.5*Assumptions!$B$32)</f>
        <v>0.9658990440250667</v>
      </c>
      <c r="C14" s="21">
        <f>1/(1+Assumptions!$B$26)^(2-0.5*Assumptions!$B$32)</f>
        <v>0.9011461025144678</v>
      </c>
      <c r="D14" s="21">
        <f>1/(1+Assumptions!$B$26)^(3-0.5*Assumptions!$B$32)</f>
        <v>0.8407341358295634</v>
      </c>
      <c r="E14" s="21">
        <f>1/(1+Assumptions!$B$26)^(4-0.5*Assumptions!$B$32)</f>
        <v>0.7843721291994762</v>
      </c>
      <c r="F14" s="21">
        <f>1/(1+Assumptions!$B$26)^(5-0.5*Assumptions!$B$32)</f>
        <v>0.7317885772032497</v>
      </c>
    </row>
    <row r="15" spans="1:6" x14ac:dyDescent="0.25">
      <c r="A15" s="19" t="s">
        <v>51</v>
      </c>
      <c r="B15" s="20">
        <f>B13*B14</f>
        <v>12998836665.981102</v>
      </c>
      <c r="C15" s="20">
        <f>C13*C14</f>
        <v>16415473298.144306</v>
      </c>
      <c r="D15" s="20">
        <f>D13*D14</f>
        <v>20730144591.11601</v>
      </c>
      <c r="E15" s="20">
        <f>E13*E14</f>
        <v>26178891522.863144</v>
      </c>
      <c r="F15" s="20">
        <f>F13*F14</f>
        <v>33059796488.80686</v>
      </c>
    </row>
    <row r="17" spans="1:2" x14ac:dyDescent="0.25">
      <c r="A17" s="22" t="s">
        <v>52</v>
      </c>
      <c r="B17" s="23">
        <f>SUM(B15:F15)</f>
        <v>109383142566.9114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45176704746.000305</v>
      </c>
    </row>
    <row r="5" spans="1:2" x14ac:dyDescent="0.25">
      <c r="A5" t="s">
        <v>56</v>
      </c>
      <c r="B5" s="18">
        <f>IF(Assumptions!$B$33=0,B4,B4-Forecast!F11-Forecast!F10-Forecast!F12)</f>
        <v>2561318788.914327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0.2927843446397283</v>
      </c>
    </row>
    <row r="7" spans="1:2" x14ac:dyDescent="0.25">
      <c r="A7" t="s">
        <v>58</v>
      </c>
      <c r="B7" s="18">
        <f>-MAX(Forecast!F9,0)*B6</f>
        <v>-749914043.0257039</v>
      </c>
    </row>
    <row r="8" spans="1:2" x14ac:dyDescent="0.25">
      <c r="A8" t="s">
        <v>59</v>
      </c>
      <c r="B8" s="18">
        <f>IF(OR(Assumptions!$B$33=0,Assumptions!B12&lt;=0),B5,MAX(B5+B7,0))</f>
        <v>1811404745.8886232</v>
      </c>
    </row>
    <row r="9" spans="1:2" x14ac:dyDescent="0.25">
      <c r="A9" t="s">
        <v>60</v>
      </c>
      <c r="B9" s="18">
        <f>B8*(1+Assumptions!B12)/(Assumptions!B26-Assumptions!B12)</f>
        <v>39625269642.20806</v>
      </c>
    </row>
    <row r="10" spans="1:2" x14ac:dyDescent="0.25">
      <c r="A10" t="s">
        <v>61</v>
      </c>
      <c r="B10" s="18">
        <f>B9/(1+Assumptions!B26)^(5-0.5*Assumptions!B32)</f>
        <v>28997319692.766563</v>
      </c>
    </row>
    <row r="11" spans="1:2" x14ac:dyDescent="0.25">
      <c r="A11" t="s">
        <v>62</v>
      </c>
      <c r="B11" s="18">
        <f>Forecast!B17+B10</f>
        <v>138380462259.67798</v>
      </c>
    </row>
    <row r="12" spans="1:2" x14ac:dyDescent="0.25">
      <c r="A12" t="s">
        <v>63</v>
      </c>
      <c r="B12" s="18">
        <f>-Assumptions!B30</f>
        <v>83208405000</v>
      </c>
    </row>
    <row r="13" spans="1:2" x14ac:dyDescent="0.25">
      <c r="A13" t="s">
        <v>64</v>
      </c>
      <c r="B13" s="18">
        <f>B11+B12</f>
        <v>221588867259.67798</v>
      </c>
    </row>
    <row r="14" spans="1:2" x14ac:dyDescent="0.25">
      <c r="A14" s="19" t="s">
        <v>65</v>
      </c>
      <c r="B14" s="24">
        <f>B13/Assumptions!B31</f>
        <v>103.41439332229103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16185652261.723713</v>
      </c>
    </row>
    <row r="18" spans="1:2" x14ac:dyDescent="0.25">
      <c r="A18" t="s">
        <v>60</v>
      </c>
      <c r="B18" s="18">
        <f>B17*Assumptions!B13</f>
        <v>48556956785.17114</v>
      </c>
    </row>
    <row r="19" spans="1:2" x14ac:dyDescent="0.25">
      <c r="A19" t="s">
        <v>61</v>
      </c>
      <c r="B19" s="18">
        <f>B18/(1+Assumptions!B26)^(5-0.5*Assumptions!B32)</f>
        <v>35533426319.140076</v>
      </c>
    </row>
    <row r="20" spans="1:2" x14ac:dyDescent="0.25">
      <c r="A20" t="s">
        <v>62</v>
      </c>
      <c r="B20" s="18">
        <f>Forecast!B17+B19</f>
        <v>144916568886.05148</v>
      </c>
    </row>
    <row r="21" spans="1:2" x14ac:dyDescent="0.25">
      <c r="A21" t="s">
        <v>63</v>
      </c>
      <c r="B21" s="18">
        <f>-Assumptions!B30</f>
        <v>83208405000</v>
      </c>
    </row>
    <row r="22" spans="1:2" x14ac:dyDescent="0.25">
      <c r="A22" t="s">
        <v>64</v>
      </c>
      <c r="B22" s="18">
        <f>B20+B21</f>
        <v>228124973886.05148</v>
      </c>
    </row>
    <row r="23" spans="1:2" x14ac:dyDescent="0.25">
      <c r="A23" s="19" t="s">
        <v>65</v>
      </c>
      <c r="B23" s="25">
        <f>B22/Assumptions!B31</f>
        <v>106.4647609234039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47.56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121.07757170173835</v>
      </c>
    </row>
    <row r="29" spans="1:2" x14ac:dyDescent="0.25">
      <c r="A29" s="19" t="s">
        <v>73</v>
      </c>
      <c r="B29" s="12">
        <f>B28/B26-1</f>
        <v>1.545785780103834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0.051856</v>
      </c>
      <c r="B5" s="31">
        <v>114.43710632042165</v>
      </c>
      <c r="C5" s="31">
        <v>116.16770852417885</v>
      </c>
      <c r="D5" s="31">
        <v>118.52195118798075</v>
      </c>
      <c r="E5" s="31">
        <v>121.92784524249488</v>
      </c>
      <c r="F5" s="31">
        <v>127.32124562724923</v>
      </c>
    </row>
    <row r="6" spans="1:6" x14ac:dyDescent="0.25">
      <c r="A6" s="30">
        <v>0.061856</v>
      </c>
      <c r="B6" s="31">
        <v>107.61313870622618</v>
      </c>
      <c r="C6" s="31">
        <v>108.347280519618</v>
      </c>
      <c r="D6" s="31">
        <v>109.26611751046788</v>
      </c>
      <c r="E6" s="31">
        <v>110.4566168956854</v>
      </c>
      <c r="F6" s="31">
        <v>112.070511469265</v>
      </c>
    </row>
    <row r="7" spans="1:6" x14ac:dyDescent="0.25">
      <c r="A7" s="30">
        <v>0.071856</v>
      </c>
      <c r="B7" s="31">
        <v>102.75432725193032</v>
      </c>
      <c r="C7" s="31">
        <v>103.05752277771536</v>
      </c>
      <c r="D7" s="32">
        <v>103.41449435209351</v>
      </c>
      <c r="E7" s="31">
        <v>103.84451378147006</v>
      </c>
      <c r="F7" s="31">
        <v>104.37731076589311</v>
      </c>
    </row>
    <row r="8" spans="1:6" x14ac:dyDescent="0.25">
      <c r="A8" s="30">
        <v>0.081856</v>
      </c>
      <c r="B8" s="31">
        <v>99.00255194020868</v>
      </c>
      <c r="C8" s="31">
        <v>99.09705823073587</v>
      </c>
      <c r="D8" s="31">
        <v>99.19954612852808</v>
      </c>
      <c r="E8" s="31">
        <v>99.3123244138418</v>
      </c>
      <c r="F8" s="31">
        <v>99.43868734595688</v>
      </c>
    </row>
    <row r="9" spans="1:6" x14ac:dyDescent="0.25">
      <c r="A9" s="30">
        <v>0.091856</v>
      </c>
      <c r="B9" s="31">
        <v>96.07635423602893</v>
      </c>
      <c r="C9" s="31">
        <v>96.12016844939033</v>
      </c>
      <c r="D9" s="31">
        <v>96.16398266275174</v>
      </c>
      <c r="E9" s="31">
        <v>96.20779687611314</v>
      </c>
      <c r="F9" s="31">
        <v>96.25161108947454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112312511000</v>
      </c>
      <c r="C5" s="18">
        <v>144459946000</v>
      </c>
      <c r="D5" s="18">
        <v>123851332000</v>
      </c>
      <c r="E5" s="18">
        <v>45286816000</v>
      </c>
      <c r="F5" s="8" t="s">
        <v>84</v>
      </c>
    </row>
    <row r="6" spans="1:6" x14ac:dyDescent="0.25">
      <c r="A6" t="s">
        <v>44</v>
      </c>
      <c r="B6" s="18">
        <v>-521117000</v>
      </c>
      <c r="C6" s="18">
        <v>7019114000</v>
      </c>
      <c r="D6" s="18">
        <v>7406877000</v>
      </c>
      <c r="E6" s="18">
        <v>-3654877000</v>
      </c>
      <c r="F6" s="8" t="s">
        <v>85</v>
      </c>
    </row>
    <row r="7" spans="1:6" x14ac:dyDescent="0.25">
      <c r="A7" t="s">
        <v>86</v>
      </c>
      <c r="B7" s="18">
        <v>4635080000</v>
      </c>
      <c r="C7" s="18">
        <v>3057865000</v>
      </c>
      <c r="D7" s="18">
        <v>1805001000</v>
      </c>
      <c r="E7" s="18">
        <v>1213855000</v>
      </c>
      <c r="F7" s="8" t="s">
        <v>87</v>
      </c>
    </row>
    <row r="8" spans="1:6" x14ac:dyDescent="0.25">
      <c r="A8" t="s">
        <v>88</v>
      </c>
      <c r="B8" s="18">
        <v>4205517000</v>
      </c>
      <c r="C8" s="18">
        <v>7730022000</v>
      </c>
      <c r="D8" s="18">
        <v>6507190000</v>
      </c>
      <c r="E8" s="18">
        <v>5127899000</v>
      </c>
      <c r="F8" s="8" t="s">
        <v>89</v>
      </c>
    </row>
    <row r="9" spans="1:6" x14ac:dyDescent="0.25">
      <c r="A9" t="s">
        <v>90</v>
      </c>
      <c r="B9" s="18">
        <v>15125970000</v>
      </c>
      <c r="C9" s="18">
        <v>-2070026000</v>
      </c>
      <c r="D9" s="18">
        <v>-36612176000</v>
      </c>
      <c r="E9" s="18">
        <v>-5035409000</v>
      </c>
      <c r="F9" s="8" t="s">
        <v>91</v>
      </c>
    </row>
    <row r="10" spans="1:6" x14ac:dyDescent="0.25">
      <c r="A10" t="s">
        <v>92</v>
      </c>
      <c r="B10" s="18">
        <v>17814767000</v>
      </c>
      <c r="C10" s="18">
        <v>16344719000</v>
      </c>
      <c r="D10" s="18">
        <v>13546867000</v>
      </c>
      <c r="E10" s="18">
        <v>12264378000</v>
      </c>
      <c r="F10" s="8" t="s">
        <v>93</v>
      </c>
    </row>
    <row r="11" spans="1:6" x14ac:dyDescent="0.25">
      <c r="A11" t="s">
        <v>94</v>
      </c>
      <c r="B11" s="18">
        <v>101023172000</v>
      </c>
      <c r="C11" s="18">
        <v>112805671000</v>
      </c>
      <c r="D11" s="18">
        <v>103262285000</v>
      </c>
      <c r="E11" s="18">
        <v>56509411000</v>
      </c>
      <c r="F11" s="8" t="s">
        <v>95</v>
      </c>
    </row>
    <row r="12" spans="1:6" x14ac:dyDescent="0.25">
      <c r="A12" t="s">
        <v>32</v>
      </c>
      <c r="B12" s="34">
        <v>2142727527</v>
      </c>
      <c r="C12" s="34">
        <v>2129273430</v>
      </c>
      <c r="D12" s="34">
        <v>2115376392</v>
      </c>
      <c r="E12" s="34">
        <v>1941230998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2026-09-19T00:08:41Z</dcterms:modified>
</cp:coreProperties>
</file>