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<sst xmlns="http://schemas.openxmlformats.org/spreadsheetml/2006/main" count="114" uniqueCount="102">
  <si>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ANTA Sports Products Limited (2020.HK)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</si>
  <si>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</si>
  <si>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</si>
  <si>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</si>
  <si>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</si>
  <si>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</si>
  <si>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</si>
  <si>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</si>
  <si>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</si>
  <si>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</si>
  <si>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</si>
  <si>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</si>
  <si>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</si>
  <si>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</si>
  <si>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</si>
  <si>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</si>
  <si>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</si>
  <si>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</si>
  <si>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</si>
  <si>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</si>
  <si>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</si>
  <si>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</si>
  <si>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</si>
  <si>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</si>
  <si>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</si>
  <si>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</si>
  <si>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</si>
  <si>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</si>
  <si>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</si>
  <si>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</si>
  <si>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</si>
  <si>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</si>
  <si>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</si>
  <si>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</si>
  <si>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</si>
  <si>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</si>
  <si>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</si>
  <si>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</si>
  <si>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</si>
  <si>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</si>
  <si>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</si>
  <si>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</si>
  <si>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</si>
  <si>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</si>
  <si>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</si>
  <si>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</si>
  <si>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</si>
  <si>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</si>
  <si>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</si>
  <si>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</si>
  <si>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</si>
  <si>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</si>
  <si>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</si>
  <si>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</si>
  <si>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</si>
  <si>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</si>
  <si>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</si>
  <si>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</si>
  <si>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</si>
  <si>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</si>
  <si>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</si>
  <si>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</si>
  <si>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</si>
  <si>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</si>
  <si>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</si>
  <si>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</si>
  <si>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</si>
  <si>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</si>
  <si>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</si>
  <si>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</si>
  <si>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</si>
  <si>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</si>
  <si>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</si>
  <si>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</si>
  <si>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</si>
  <si>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</si>
  <si>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</si>
  <si>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</si>
  <si>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</si>
  <si>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</si>
  <si>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</si>
  <si>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</si>
  <si>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</si>
  <si>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</si>
  <si>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</si>
  <si>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</si>
  <si>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</si>
  <si>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</si>
  <si>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</si>
  <si>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</si>
  <si>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</si>
  <si>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</si>
  <si>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</si>
  <si>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</si>
  <si>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</si>
  <si>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</si>
  <si>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</si>
  <si>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</si>
  <si>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</si>
  <si>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Reported capital expenditure averages 3.44% of revenue against depreciation of 7.77%. A business cannot depreciate more than it invests indefinitely. Capex has been set to 7.77% of revenue so the forecast is not handed free growth. Override it if the reported figure is right.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</si>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</sst>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0.1434920271154041</v>
      </c>
    </row>
    <row r="7" spans="1:2" x14ac:dyDescent="0.25">
      <c r="A7" t="s">
        <v>5</v>
      </c>
      <c r="B7" s="6">
        <v>0.22878165937377332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0.07984940982586115</v>
      </c>
    </row>
    <row r="10" spans="1:2" x14ac:dyDescent="0.25">
      <c r="A10" t="s">
        <v>8</v>
      </c>
      <c r="B10" s="6">
        <v>0.0777187333886383</v>
      </c>
    </row>
    <row r="11" spans="1:2" x14ac:dyDescent="0.25">
      <c r="A11" t="s">
        <v>9</v>
      </c>
      <c r="B11" s="6">
        <v>0.14564037048866177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7.619225204427342</v>
      </c>
    </row>
    <row r="14" spans="1:3" x14ac:dyDescent="0.25">
      <c r="A14" t="s">
        <v>12</v>
      </c>
      <c r="B14" s="6">
        <v>0.18372889249705082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0.7681800000000001</v>
      </c>
      <c r="C19" s="8" t="s">
        <v>19</v>
      </c>
    </row>
    <row r="20" spans="1:2" x14ac:dyDescent="0.25">
      <c r="A20" t="s">
        <v>20</v>
      </c>
      <c r="B20" s="10">
        <f>B17+B19*B18</f>
        <v>0.0857726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198644809728</v>
      </c>
    </row>
    <row r="23" spans="1:2" x14ac:dyDescent="0.25">
      <c r="A23" t="s">
        <v>24</v>
      </c>
      <c r="B23" s="11">
        <v>31764000000</v>
      </c>
    </row>
    <row r="24" spans="1:2" x14ac:dyDescent="0.25">
      <c r="A24" t="s">
        <v>25</v>
      </c>
      <c r="B24" s="10">
        <f>B22/(B22+B23)</f>
        <v>0.8621406879472285</v>
      </c>
    </row>
    <row r="25" spans="1:2" x14ac:dyDescent="0.25">
      <c r="A25" t="s">
        <v>26</v>
      </c>
      <c r="B25" s="10">
        <f>1-B24</f>
        <v>0.13785931205277147</v>
      </c>
    </row>
    <row r="26" spans="1:2" x14ac:dyDescent="0.25">
      <c r="A26" t="s">
        <v>27</v>
      </c>
      <c r="B26" s="12">
        <f>B24*B20+B25*B21*(1-B8)</f>
        <v>0.0776316491890725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80219000000</v>
      </c>
      <c r="C29" s="8" t="s">
        <v>30</v>
      </c>
    </row>
    <row r="30" spans="1:2" x14ac:dyDescent="0.25">
      <c r="A30" t="s">
        <v>31</v>
      </c>
      <c r="B30" s="11">
        <v>-6587000000</v>
      </c>
    </row>
    <row r="31" spans="1:2" x14ac:dyDescent="0.25">
      <c r="A31" t="s">
        <v>32</v>
      </c>
      <c r="B31" s="13">
        <v>2903996000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0.1434920271154041</v>
      </c>
      <c r="C5" s="10">
        <f>Assumptions!B6</f>
        <v>0.1434920271154041</v>
      </c>
      <c r="D5" s="10">
        <f>Assumptions!B6</f>
        <v>0.1434920271154041</v>
      </c>
      <c r="E5" s="10">
        <f>Assumptions!B6</f>
        <v>0.1434920271154041</v>
      </c>
      <c r="F5" s="10">
        <f>Assumptions!B6</f>
        <v>0.1434920271154041</v>
      </c>
    </row>
    <row r="6" spans="1:6" x14ac:dyDescent="0.25">
      <c r="A6" t="s">
        <v>43</v>
      </c>
      <c r="B6" s="18">
        <f>Assumptions!B29*(1+B5)</f>
        <v>91729786923.17061</v>
      </c>
      <c r="C6" s="18">
        <f>B6*(1+C5)</f>
        <v>104892279995.64044</v>
      </c>
      <c r="D6" s="18">
        <f>C6*(1+D5)</f>
        <v>119943485880.97144</v>
      </c>
      <c r="E6" s="18">
        <f>D6*(1+E5)</f>
        <v>137154419809.31987</v>
      </c>
      <c r="F6" s="18">
        <f>E6*(1+F5)</f>
        <v>156834985535.5963</v>
      </c>
    </row>
    <row r="7" spans="1:6" x14ac:dyDescent="0.25">
      <c r="A7" t="s">
        <v>5</v>
      </c>
      <c r="B7" s="10">
        <f>Assumptions!B7</f>
        <v>0.22878165937377332</v>
      </c>
      <c r="C7" s="10">
        <f>Assumptions!B7</f>
        <v>0.22878165937377332</v>
      </c>
      <c r="D7" s="10">
        <f>Assumptions!B7</f>
        <v>0.22878165937377332</v>
      </c>
      <c r="E7" s="10">
        <f>Assumptions!B7</f>
        <v>0.22878165937377332</v>
      </c>
      <c r="F7" s="10">
        <f>Assumptions!B7</f>
        <v>0.22878165937377332</v>
      </c>
    </row>
    <row r="8" spans="1:6" x14ac:dyDescent="0.25">
      <c r="A8" t="s">
        <v>44</v>
      </c>
      <c r="B8" s="18">
        <f>B6*B7</f>
        <v>20986092866.285625</v>
      </c>
      <c r="C8" s="18">
        <f>C6*C7</f>
        <v>23997429872.90107</v>
      </c>
      <c r="D8" s="18">
        <f>D6*D7</f>
        <v>27440869730.923397</v>
      </c>
      <c r="E8" s="18">
        <f>E6*E7</f>
        <v>31378415754.423325</v>
      </c>
      <c r="F8" s="18">
        <f>F6*F7</f>
        <v>35880968238.69546</v>
      </c>
    </row>
    <row r="9" spans="1:6" x14ac:dyDescent="0.25">
      <c r="A9" t="s">
        <v>45</v>
      </c>
      <c r="B9" s="18">
        <f>B8*(1-Assumptions!B8)</f>
        <v>17523387543.348495</v>
      </c>
      <c r="C9" s="18">
        <f>C8*(1-Assumptions!B8)</f>
        <v>20037853943.87239</v>
      </c>
      <c r="D9" s="18">
        <f>D8*(1-Assumptions!B8)</f>
        <v>22913126225.321037</v>
      </c>
      <c r="E9" s="18">
        <f>E8*(1-Assumptions!B8)</f>
        <v>26200977154.943474</v>
      </c>
      <c r="F9" s="18">
        <f>F8*(1-Assumptions!B8)</f>
        <v>29960608479.310707</v>
      </c>
    </row>
    <row r="10" spans="1:6" x14ac:dyDescent="0.25">
      <c r="A10" t="s">
        <v>46</v>
      </c>
      <c r="B10" s="18">
        <f>B6*Assumptions!B9</f>
        <v>7324569349.267169</v>
      </c>
      <c r="C10" s="18">
        <f>C6*Assumptions!B9</f>
        <v>8375586652.940871</v>
      </c>
      <c r="D10" s="18">
        <f>D6*Assumptions!B9</f>
        <v>9577416560.052078</v>
      </c>
      <c r="E10" s="18">
        <f>E6*Assumptions!B9</f>
        <v>10951699476.78259</v>
      </c>
      <c r="F10" s="18">
        <f>F6*Assumptions!B9</f>
        <v>12523181035.064837</v>
      </c>
    </row>
    <row r="11" spans="1:6" x14ac:dyDescent="0.25">
      <c r="A11" t="s">
        <v>47</v>
      </c>
      <c r="B11" s="18">
        <f>-B6*Assumptions!B10</f>
        <v>-7129122853.678496</v>
      </c>
      <c r="C11" s="18">
        <f>-C6*Assumptions!B10</f>
        <v>-8152095143.507578</v>
      </c>
      <c r="D11" s="18">
        <f>-D6*Assumptions!B10</f>
        <v>-9321855800.887121</v>
      </c>
      <c r="E11" s="18">
        <f>-E6*Assumptions!B10</f>
        <v>-10659467786.233902</v>
      </c>
      <c r="F11" s="18">
        <f>-F6*Assumptions!B10</f>
        <v>-12189016426.851954</v>
      </c>
    </row>
    <row r="12" spans="1:6" x14ac:dyDescent="0.25">
      <c r="A12" t="s">
        <v>48</v>
      </c>
      <c r="B12" s="18">
        <f>-(B6-Assumptions!B29)*Assumptions!B11</f>
        <v>-1676435272.1066105</v>
      </c>
      <c r="C12" s="18">
        <f>-(C6-B6)*Assumptions!B11</f>
        <v>-1916990367.6289506</v>
      </c>
      <c r="D12" s="18">
        <f>-(D6-C6)*Assumptions!B11</f>
        <v>-2192063201.4407325</v>
      </c>
      <c r="E12" s="18">
        <f>-(E6-D6)*Assumptions!B11</f>
        <v>-2506606793.7805448</v>
      </c>
      <c r="F12" s="18">
        <f>-(F6-E6)*Assumptions!B11</f>
        <v>-2866284883.80136</v>
      </c>
    </row>
    <row r="13" spans="1:6" x14ac:dyDescent="0.25">
      <c r="A13" s="19" t="s">
        <v>49</v>
      </c>
      <c r="B13" s="20">
        <f>B9+B10+B11+B12</f>
        <v>16042398766.830557</v>
      </c>
      <c r="C13" s="20">
        <f>C9+C10+C11+C12</f>
        <v>18344355085.676735</v>
      </c>
      <c r="D13" s="20">
        <f>D9+D10+D11+D12</f>
        <v>20976623783.04526</v>
      </c>
      <c r="E13" s="20">
        <f>E9+E10+E11+E12</f>
        <v>23986602051.71162</v>
      </c>
      <c r="F13" s="20">
        <f>F9+F10+F11+F12</f>
        <v>27428488203.72223</v>
      </c>
    </row>
    <row r="14" spans="1:6" x14ac:dyDescent="0.25">
      <c r="A14" t="s">
        <v>50</v>
      </c>
      <c r="B14" s="21">
        <f>1/(1+Assumptions!$B$26)^(1-0.5*Assumptions!$B$32)</f>
        <v>0.9633072549685244</v>
      </c>
      <c r="C14" s="21">
        <f>1/(1+Assumptions!$B$26)^(2-0.5*Assumptions!$B$32)</f>
        <v>0.8939114359655471</v>
      </c>
      <c r="D14" s="21">
        <f>1/(1+Assumptions!$B$26)^(3-0.5*Assumptions!$B$32)</f>
        <v>0.8295148315644064</v>
      </c>
      <c r="E14" s="21">
        <f>1/(1+Assumptions!$B$26)^(4-0.5*Assumptions!$B$32)</f>
        <v>0.76975730268188</v>
      </c>
      <c r="F14" s="21">
        <f>1/(1+Assumptions!$B$26)^(5-0.5*Assumptions!$B$32)</f>
        <v>0.7143046543418888</v>
      </c>
    </row>
    <row r="15" spans="1:6" x14ac:dyDescent="0.25">
      <c r="A15" s="19" t="s">
        <v>51</v>
      </c>
      <c r="B15" s="20">
        <f>B13*B14</f>
        <v>15453759119.185986</v>
      </c>
      <c r="C15" s="20">
        <f>C13*C14</f>
        <v>16398228796.499178</v>
      </c>
      <c r="D15" s="20">
        <f>D13*D14</f>
        <v>17400420544.182713</v>
      </c>
      <c r="E15" s="20">
        <f>E13*E14</f>
        <v>18463862095.829185</v>
      </c>
      <c r="F15" s="20">
        <f>F13*F14</f>
        <v>19592296785.48038</v>
      </c>
    </row>
    <row r="17" spans="1:2" x14ac:dyDescent="0.25">
      <c r="A17" s="22" t="s">
        <v>52</v>
      </c>
      <c r="B17" s="23">
        <f>SUM(B15:F15)</f>
        <v>87308567341.17744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27428488203.72223</v>
      </c>
    </row>
    <row r="5" spans="1:2" x14ac:dyDescent="0.25">
      <c r="A5" t="s">
        <v>56</v>
      </c>
      <c r="B5" s="18">
        <f>IF(Assumptions!$B$33=0,B4,B4-Forecast!F11-Forecast!F10-Forecast!F12)</f>
        <v>30239635927.168465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0.1360700522396133</v>
      </c>
    </row>
    <row r="7" spans="1:2" x14ac:dyDescent="0.25">
      <c r="A7" t="s">
        <v>58</v>
      </c>
      <c r="B7" s="18">
        <f>-MAX(Forecast!F9,0)*B6</f>
        <v>-4114708840.3167</v>
      </c>
    </row>
    <row r="8" spans="1:2" x14ac:dyDescent="0.25">
      <c r="A8" t="s">
        <v>59</v>
      </c>
      <c r="B8" s="18">
        <f>IF(OR(Assumptions!$B$33=0,Assumptions!B12&lt;=0),B5,MAX(B5+B7,0))</f>
        <v>26124927086.851765</v>
      </c>
    </row>
    <row r="9" spans="1:2" x14ac:dyDescent="0.25">
      <c r="A9" t="s">
        <v>60</v>
      </c>
      <c r="B9" s="18">
        <f>B8*(1+Assumptions!B12)/(Assumptions!B26-Assumptions!B12)</f>
        <v>508782275999.49066</v>
      </c>
    </row>
    <row r="10" spans="1:2" x14ac:dyDescent="0.25">
      <c r="A10" t="s">
        <v>61</v>
      </c>
      <c r="B10" s="18">
        <f>B9/(1+Assumptions!B26)^(5-0.5*Assumptions!B32)</f>
        <v>363425547793.09564</v>
      </c>
    </row>
    <row r="11" spans="1:2" x14ac:dyDescent="0.25">
      <c r="A11" t="s">
        <v>62</v>
      </c>
      <c r="B11" s="18">
        <f>Forecast!B17+B10</f>
        <v>450734115134.2731</v>
      </c>
    </row>
    <row r="12" spans="1:2" x14ac:dyDescent="0.25">
      <c r="A12" t="s">
        <v>63</v>
      </c>
      <c r="B12" s="18">
        <f>-Assumptions!B30</f>
        <v>6587000000</v>
      </c>
    </row>
    <row r="13" spans="1:2" x14ac:dyDescent="0.25">
      <c r="A13" t="s">
        <v>64</v>
      </c>
      <c r="B13" s="18">
        <f>B11+B12</f>
        <v>457321115134.2731</v>
      </c>
    </row>
    <row r="14" spans="1:2" x14ac:dyDescent="0.25">
      <c r="A14" s="19" t="s">
        <v>65</v>
      </c>
      <c r="B14" s="24">
        <f>B13/Assumptions!B31</f>
        <v>157.47993975689812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48404149273.76029</v>
      </c>
    </row>
    <row r="18" spans="1:2" x14ac:dyDescent="0.25">
      <c r="A18" t="s">
        <v>60</v>
      </c>
      <c r="B18" s="18">
        <f>B17*Assumptions!B13</f>
        <v>368802114145.4978</v>
      </c>
    </row>
    <row r="19" spans="1:2" x14ac:dyDescent="0.25">
      <c r="A19" t="s">
        <v>61</v>
      </c>
      <c r="B19" s="18">
        <f>B18/(1+Assumptions!B26)^(5-0.5*Assumptions!B32)</f>
        <v>263437066665.25763</v>
      </c>
    </row>
    <row r="20" spans="1:2" x14ac:dyDescent="0.25">
      <c r="A20" t="s">
        <v>62</v>
      </c>
      <c r="B20" s="18">
        <f>Forecast!B17+B19</f>
        <v>350745634006.43506</v>
      </c>
    </row>
    <row r="21" spans="1:2" x14ac:dyDescent="0.25">
      <c r="A21" t="s">
        <v>63</v>
      </c>
      <c r="B21" s="18">
        <f>-Assumptions!B30</f>
        <v>6587000000</v>
      </c>
    </row>
    <row r="22" spans="1:2" x14ac:dyDescent="0.25">
      <c r="A22" t="s">
        <v>64</v>
      </c>
      <c r="B22" s="18">
        <f>B20+B21</f>
        <v>357332634006.43506</v>
      </c>
    </row>
    <row r="23" spans="1:2" x14ac:dyDescent="0.25">
      <c r="A23" s="19" t="s">
        <v>65</v>
      </c>
      <c r="B23" s="25">
        <f>B22/Assumptions!B31</f>
        <v>123.04859717659221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71.7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184.37751346737633</v>
      </c>
    </row>
    <row r="29" spans="1:2" x14ac:dyDescent="0.25">
      <c r="A29" s="19" t="s">
        <v>73</v>
      </c>
      <c r="B29" s="12">
        <f>B28/B26-1</f>
        <v>1.5715134374808413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0.057632</v>
      </c>
      <c r="B5" s="31">
        <v>210.7922051858303</v>
      </c>
      <c r="C5" s="31">
        <v>229.31927246128993</v>
      </c>
      <c r="D5" s="31">
        <v>253.4564285586323</v>
      </c>
      <c r="E5" s="31">
        <v>286.2491038603215</v>
      </c>
      <c r="F5" s="31">
        <v>333.4339892494079</v>
      </c>
    </row>
    <row r="6" spans="1:6" x14ac:dyDescent="0.25">
      <c r="A6" s="30">
        <v>0.067632</v>
      </c>
      <c r="B6" s="31">
        <v>170.45506573407496</v>
      </c>
      <c r="C6" s="31">
        <v>181.10301016121105</v>
      </c>
      <c r="D6" s="31">
        <v>194.19908050022883</v>
      </c>
      <c r="E6" s="31">
        <v>210.71909224534147</v>
      </c>
      <c r="F6" s="31">
        <v>232.23693363788942</v>
      </c>
    </row>
    <row r="7" spans="1:6" x14ac:dyDescent="0.25">
      <c r="A7" s="30">
        <v>0.077632</v>
      </c>
      <c r="B7" s="31">
        <v>143.0325731828799</v>
      </c>
      <c r="C7" s="31">
        <v>149.64663402231002</v>
      </c>
      <c r="D7" s="32">
        <v>157.4788966529212</v>
      </c>
      <c r="E7" s="31">
        <v>166.91299029178853</v>
      </c>
      <c r="F7" s="31">
        <v>178.51251657908458</v>
      </c>
    </row>
    <row r="8" spans="1:6" x14ac:dyDescent="0.25">
      <c r="A8" s="30">
        <v>0.087632</v>
      </c>
      <c r="B8" s="31">
        <v>123.18904842353972</v>
      </c>
      <c r="C8" s="31">
        <v>127.51479988628468</v>
      </c>
      <c r="D8" s="31">
        <v>132.50020960635004</v>
      </c>
      <c r="E8" s="31">
        <v>138.31696820456804</v>
      </c>
      <c r="F8" s="31">
        <v>145.2020082157519</v>
      </c>
    </row>
    <row r="9" spans="1:6" x14ac:dyDescent="0.25">
      <c r="A9" s="30">
        <v>0.097632</v>
      </c>
      <c r="B9" s="31">
        <v>108.1717450188573</v>
      </c>
      <c r="C9" s="31">
        <v>111.10328290412818</v>
      </c>
      <c r="D9" s="31">
        <v>114.41277994186122</v>
      </c>
      <c r="E9" s="31">
        <v>118.18406312648119</v>
      </c>
      <c r="F9" s="31">
        <v>122.5277275563931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80219000000</v>
      </c>
      <c r="C5" s="18">
        <v>70826000000</v>
      </c>
      <c r="D5" s="18">
        <v>62356000000</v>
      </c>
      <c r="E5" s="18">
        <v>53651000000</v>
      </c>
      <c r="F5" s="8" t="s">
        <v>84</v>
      </c>
    </row>
    <row r="6" spans="1:6" x14ac:dyDescent="0.25">
      <c r="A6" t="s">
        <v>44</v>
      </c>
      <c r="B6" s="18">
        <v>18872000000</v>
      </c>
      <c r="C6" s="18">
        <v>16411000000</v>
      </c>
      <c r="D6" s="18">
        <v>15155000000</v>
      </c>
      <c r="E6" s="18">
        <v>11005000000</v>
      </c>
      <c r="F6" s="8" t="s">
        <v>85</v>
      </c>
    </row>
    <row r="7" spans="1:6" x14ac:dyDescent="0.25">
      <c r="A7" t="s">
        <v>86</v>
      </c>
      <c r="B7" s="18">
        <v>6335000000</v>
      </c>
      <c r="C7" s="18">
        <v>5471000000</v>
      </c>
      <c r="D7" s="18">
        <v>4987000000</v>
      </c>
      <c r="E7" s="18">
        <v>4464000000</v>
      </c>
      <c r="F7" s="8" t="s">
        <v>87</v>
      </c>
    </row>
    <row r="8" spans="1:6" x14ac:dyDescent="0.25">
      <c r="A8" t="s">
        <v>88</v>
      </c>
      <c r="B8" s="18">
        <v>2716000000</v>
      </c>
      <c r="C8" s="18">
        <v>3460000000</v>
      </c>
      <c r="D8" s="18">
        <v>1394000000</v>
      </c>
      <c r="E8" s="18">
        <v>1736000000</v>
      </c>
      <c r="F8" s="8" t="s">
        <v>89</v>
      </c>
    </row>
    <row r="9" spans="1:6" x14ac:dyDescent="0.25">
      <c r="A9" t="s">
        <v>90</v>
      </c>
      <c r="B9" s="18">
        <v>1368000000</v>
      </c>
      <c r="C9" s="18">
        <v>2223000000</v>
      </c>
      <c r="D9" s="18">
        <v>-1659000000</v>
      </c>
      <c r="E9" s="18">
        <v>1598000000</v>
      </c>
      <c r="F9" s="8" t="s">
        <v>91</v>
      </c>
    </row>
    <row r="10" spans="1:6" x14ac:dyDescent="0.25">
      <c r="A10" t="s">
        <v>92</v>
      </c>
      <c r="B10" s="18">
        <v>31764000000</v>
      </c>
      <c r="C10" s="18">
        <v>28120000000</v>
      </c>
      <c r="D10" s="18">
        <v>21469000000</v>
      </c>
      <c r="E10" s="18">
        <v>19495000000</v>
      </c>
      <c r="F10" s="8" t="s">
        <v>93</v>
      </c>
    </row>
    <row r="11" spans="1:6" x14ac:dyDescent="0.25">
      <c r="A11" t="s">
        <v>94</v>
      </c>
      <c r="B11" s="18">
        <v>38351000000</v>
      </c>
      <c r="C11" s="18">
        <v>34267000000</v>
      </c>
      <c r="D11" s="18">
        <v>38009000000</v>
      </c>
      <c r="E11" s="18">
        <v>28301000000</v>
      </c>
      <c r="F11" s="8" t="s">
        <v>95</v>
      </c>
    </row>
    <row r="12" spans="1:6" x14ac:dyDescent="0.25">
      <c r="A12" t="s">
        <v>32</v>
      </c>
      <c r="B12" s="34">
        <v>2903996000</v>
      </c>
      <c r="C12" s="34">
        <v>2906049000</v>
      </c>
      <c r="D12" s="34">
        <v>2867056000</v>
      </c>
      <c r="E12" s="34">
        <v>2781008000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2026-09-19T00:09:34Z</dcterms:modified>
</cp:coreProperties>
</file>