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<sst xmlns="http://schemas.openxmlformats.org/spreadsheetml/2006/main" count="116" uniqueCount="104">
  <si>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WuXi Biologics (Cayman) Inc. (2269.HK)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</si>
  <si>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</si>
  <si>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</si>
  <si>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</si>
  <si>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</si>
  <si>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</si>
  <si>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</si>
  <si>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</si>
  <si>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</si>
  <si>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</si>
  <si>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</si>
  <si>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</si>
  <si>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</si>
  <si>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</si>
  <si>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</si>
  <si>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</si>
  <si>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</si>
  <si>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</si>
  <si>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</si>
  <si>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</si>
  <si>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</si>
  <si>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</si>
  <si>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</si>
  <si>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</si>
  <si>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</si>
  <si>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</si>
  <si>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</si>
  <si>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</si>
  <si>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</si>
  <si>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</si>
  <si>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</si>
  <si>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</si>
  <si>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</si>
  <si>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</si>
  <si>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</si>
  <si>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</si>
  <si>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</si>
  <si>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</si>
  <si>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</si>
  <si>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</si>
  <si>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</si>
  <si>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</si>
  <si>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</si>
  <si>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</si>
  <si>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</si>
  <si>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</si>
  <si>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</si>
  <si>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</si>
  <si>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</si>
  <si>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</si>
  <si>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</si>
  <si>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</si>
  <si>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</si>
  <si>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</si>
  <si>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</si>
  <si>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</si>
  <si>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</si>
  <si>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</si>
  <si>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</si>
  <si>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</si>
  <si>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</si>
  <si>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</si>
  <si>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</si>
  <si>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</si>
  <si>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</si>
  <si>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</si>
  <si>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</si>
  <si>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</si>
  <si>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</si>
  <si>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</si>
  <si>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</si>
  <si>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</si>
  <si>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</si>
  <si>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</si>
  <si>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</si>
  <si>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</si>
  <si>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</si>
  <si>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</si>
  <si>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</si>
  <si>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</si>
  <si>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</si>
  <si>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</si>
  <si>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</si>
  <si>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</si>
  <si>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</si>
  <si>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</si>
  <si>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</si>
  <si>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</si>
  <si>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</si>
  <si>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</si>
  <si>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</si>
  <si>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</si>
  <si>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</si>
  <si>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</si>
  <si>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</si>
  <si>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</si>
  <si>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</si>
  <si>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</si>
  <si>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</si>
  <si>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Free cashflow is negative in at least one forecast year, so terminal value carries most of the valuation.</t>
  </si>
  <si>
    <t>Adjusted: Capital expenditure runs at 25.4% of revenue against depreciation of 6.6%.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</si>
  <si>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</si>
  <si>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Current EV/EBITDA of 22.9x sits outside a defensible 3-20x band, so the exit multiple is capped at 20.0x.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</si>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</sst>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0.1258630207700473</v>
      </c>
    </row>
    <row r="7" spans="1:2" x14ac:dyDescent="0.25">
      <c r="A7" t="s">
        <v>5</v>
      </c>
      <c r="B7" s="6">
        <v>0.2914250827821443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0.06612740338736883</v>
      </c>
    </row>
    <row r="10" spans="1:2" x14ac:dyDescent="0.25">
      <c r="A10" t="s">
        <v>8</v>
      </c>
      <c r="B10" s="6">
        <v>0.25363863971544554</v>
      </c>
    </row>
    <row r="11" spans="1:2" x14ac:dyDescent="0.25">
      <c r="A11" t="s">
        <v>9</v>
      </c>
      <c r="B11" s="6">
        <v>0.5076730507279416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0.09966626336123584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0.7474099999999999</v>
      </c>
      <c r="C19" s="8" t="s">
        <v>19</v>
      </c>
    </row>
    <row r="20" spans="1:2" x14ac:dyDescent="0.25">
      <c r="A20" t="s">
        <v>20</v>
      </c>
      <c r="B20" s="10">
        <f>B17+B19*B18</f>
        <v>0.0843187</v>
      </c>
    </row>
    <row r="21" spans="1:3" x14ac:dyDescent="0.25">
      <c r="A21" t="s">
        <v>21</v>
      </c>
      <c r="B21" s="6">
        <v>0.03556949569954431</v>
      </c>
      <c r="C21" s="8" t="s">
        <v>22</v>
      </c>
    </row>
    <row r="22" spans="1:2" x14ac:dyDescent="0.25">
      <c r="A22" t="s">
        <v>23</v>
      </c>
      <c r="B22" s="11">
        <v>207246098432</v>
      </c>
    </row>
    <row r="23" spans="1:2" x14ac:dyDescent="0.25">
      <c r="A23" t="s">
        <v>24</v>
      </c>
      <c r="B23" s="11">
        <v>3104066000</v>
      </c>
    </row>
    <row r="24" spans="1:2" x14ac:dyDescent="0.25">
      <c r="A24" t="s">
        <v>25</v>
      </c>
      <c r="B24" s="10">
        <f>B22/(B22+B23)</f>
        <v>0.9852433393224018</v>
      </c>
    </row>
    <row r="25" spans="1:2" x14ac:dyDescent="0.25">
      <c r="A25" t="s">
        <v>26</v>
      </c>
      <c r="B25" s="10">
        <f>1-B24</f>
        <v>0.014756660677598177</v>
      </c>
    </row>
    <row r="26" spans="1:2" x14ac:dyDescent="0.25">
      <c r="A26" t="s">
        <v>27</v>
      </c>
      <c r="B26" s="12">
        <f>B24*B20+B25*B21*(1-B8)</f>
        <v>0.08351271818238087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21790018000</v>
      </c>
      <c r="C29" s="8" t="s">
        <v>30</v>
      </c>
    </row>
    <row r="30" spans="1:2" x14ac:dyDescent="0.25">
      <c r="A30" t="s">
        <v>31</v>
      </c>
      <c r="B30" s="11">
        <v>-12628696000</v>
      </c>
    </row>
    <row r="31" spans="1:2" x14ac:dyDescent="0.25">
      <c r="A31" t="s">
        <v>32</v>
      </c>
      <c r="B31" s="13">
        <v>4175774425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0.1258630207700473</v>
      </c>
      <c r="C5" s="10">
        <f>Assumptions!B6</f>
        <v>0.1258630207700473</v>
      </c>
      <c r="D5" s="10">
        <f>Assumptions!B6</f>
        <v>0.1258630207700473</v>
      </c>
      <c r="E5" s="10">
        <f>Assumptions!B6</f>
        <v>0.1258630207700473</v>
      </c>
      <c r="F5" s="10">
        <f>Assumptions!B6</f>
        <v>0.1258630207700473</v>
      </c>
    </row>
    <row r="6" spans="1:6" x14ac:dyDescent="0.25">
      <c r="A6" t="s">
        <v>43</v>
      </c>
      <c r="B6" s="18">
        <f>Assumptions!B29*(1+B5)</f>
        <v>24532575488.113705</v>
      </c>
      <c r="C6" s="18">
        <f>B6*(1+C5)</f>
        <v>27620319546.316914</v>
      </c>
      <c r="D6" s="18">
        <f>C6*(1+D5)</f>
        <v>31096696399.050343</v>
      </c>
      <c r="E6" s="18">
        <f>D6*(1+E5)</f>
        <v>35010620543.80387</v>
      </c>
      <c r="F6" s="18">
        <f>E6*(1+F5)</f>
        <v>39417163004.4809</v>
      </c>
    </row>
    <row r="7" spans="1:6" x14ac:dyDescent="0.25">
      <c r="A7" t="s">
        <v>5</v>
      </c>
      <c r="B7" s="10">
        <f>Assumptions!B7</f>
        <v>0.2914250827821443</v>
      </c>
      <c r="C7" s="10">
        <f>Assumptions!B7</f>
        <v>0.2914250827821443</v>
      </c>
      <c r="D7" s="10">
        <f>Assumptions!B7</f>
        <v>0.2914250827821443</v>
      </c>
      <c r="E7" s="10">
        <f>Assumptions!B7</f>
        <v>0.2914250827821443</v>
      </c>
      <c r="F7" s="10">
        <f>Assumptions!B7</f>
        <v>0.2914250827821443</v>
      </c>
    </row>
    <row r="8" spans="1:6" x14ac:dyDescent="0.25">
      <c r="A8" t="s">
        <v>44</v>
      </c>
      <c r="B8" s="18">
        <f>B6*B7</f>
        <v>7149407842.48274</v>
      </c>
      <c r="C8" s="18">
        <f>C6*C7</f>
        <v>8049253910.254684</v>
      </c>
      <c r="D8" s="18">
        <f>D6*D7</f>
        <v>9062357322.344454</v>
      </c>
      <c r="E8" s="18">
        <f>E6*E7</f>
        <v>10202972990.232285</v>
      </c>
      <c r="F8" s="18">
        <f>F6*F7</f>
        <v>11487149991.618122</v>
      </c>
    </row>
    <row r="9" spans="1:6" x14ac:dyDescent="0.25">
      <c r="A9" t="s">
        <v>45</v>
      </c>
      <c r="B9" s="18">
        <f>B8*(1-Assumptions!B8)</f>
        <v>5969755548.473088</v>
      </c>
      <c r="C9" s="18">
        <f>C8*(1-Assumptions!B8)</f>
        <v>6721127015.062661</v>
      </c>
      <c r="D9" s="18">
        <f>D8*(1-Assumptions!B8)</f>
        <v>7567068364.1576185</v>
      </c>
      <c r="E9" s="18">
        <f>E8*(1-Assumptions!B8)</f>
        <v>8519482446.843957</v>
      </c>
      <c r="F9" s="18">
        <f>F8*(1-Assumptions!B8)</f>
        <v>9591770243.001131</v>
      </c>
    </row>
    <row r="10" spans="1:6" x14ac:dyDescent="0.25">
      <c r="A10" t="s">
        <v>46</v>
      </c>
      <c r="B10" s="18">
        <f>B6*Assumptions!B9</f>
        <v>1622275515.4335718</v>
      </c>
      <c r="C10" s="18">
        <f>C6*Assumptions!B9</f>
        <v>1826460012.3273265</v>
      </c>
      <c r="D10" s="18">
        <f>D6*Assumptions!B9</f>
        <v>2056343786.7945418</v>
      </c>
      <c r="E10" s="18">
        <f>E6*Assumptions!B9</f>
        <v>2315161427.542221</v>
      </c>
      <c r="F10" s="18">
        <f>F6*Assumptions!B9</f>
        <v>2606554638.38298</v>
      </c>
    </row>
    <row r="11" spans="1:6" x14ac:dyDescent="0.25">
      <c r="A11" t="s">
        <v>47</v>
      </c>
      <c r="B11" s="18">
        <f>-B6*Assumptions!B10</f>
        <v>-6222409075.521643</v>
      </c>
      <c r="C11" s="18">
        <f>-C6*Assumptions!B10</f>
        <v>-7005580278.233754</v>
      </c>
      <c r="D11" s="18">
        <f>-D6*Assumptions!B10</f>
        <v>-7887323774.299322</v>
      </c>
      <c r="E11" s="18">
        <f>-E6*Assumptions!B10</f>
        <v>-8880046170.324045</v>
      </c>
      <c r="F11" s="18">
        <f>-F6*Assumptions!B10</f>
        <v>-9997715605.898521</v>
      </c>
    </row>
    <row r="12" spans="1:6" x14ac:dyDescent="0.25">
      <c r="A12" t="s">
        <v>48</v>
      </c>
      <c r="B12" s="18">
        <f>-(B6-Assumptions!B29)*Assumptions!B11</f>
        <v>-1392322526.7874448</v>
      </c>
      <c r="C12" s="18">
        <f>-(C6-B6)*Assumptions!B11</f>
        <v>-1567564445.8950977</v>
      </c>
      <c r="D12" s="18">
        <f>-(D6-C6)*Assumptions!B11</f>
        <v>-1764862842.30718</v>
      </c>
      <c r="E12" s="18">
        <f>-(E6-D6)*Assumptions!B11</f>
        <v>-1986993810.8847735</v>
      </c>
      <c r="F12" s="18">
        <f>-(F6-E6)*Assumptions!B11</f>
        <v>-2237082854.1741195</v>
      </c>
    </row>
    <row r="13" spans="1:6" x14ac:dyDescent="0.25">
      <c r="A13" s="19" t="s">
        <v>49</v>
      </c>
      <c r="B13" s="20">
        <f>B9+B10+B11+B12</f>
        <v>-22700538.402427435</v>
      </c>
      <c r="C13" s="20">
        <f>C9+C10+C11+C12</f>
        <v>-25557696.738863945</v>
      </c>
      <c r="D13" s="20">
        <f>D9+D10+D11+D12</f>
        <v>-28774465.654342175</v>
      </c>
      <c r="E13" s="20">
        <f>E9+E10+E11+E12</f>
        <v>-32396106.82264161</v>
      </c>
      <c r="F13" s="20">
        <f>F9+F10+F11+F12</f>
        <v>-36473578.68852949</v>
      </c>
    </row>
    <row r="14" spans="1:6" x14ac:dyDescent="0.25">
      <c r="A14" t="s">
        <v>50</v>
      </c>
      <c r="B14" s="21">
        <f>1/(1+Assumptions!$B$26)^(1-0.5*Assumptions!$B$32)</f>
        <v>0.9606893877594119</v>
      </c>
      <c r="C14" s="21">
        <f>1/(1+Assumptions!$B$26)^(2-0.5*Assumptions!$B$32)</f>
        <v>0.886643388340648</v>
      </c>
      <c r="D14" s="21">
        <f>1/(1+Assumptions!$B$26)^(3-0.5*Assumptions!$B$32)</f>
        <v>0.8183045509867333</v>
      </c>
      <c r="E14" s="21">
        <f>1/(1+Assumptions!$B$26)^(4-0.5*Assumptions!$B$32)</f>
        <v>0.7552329910436669</v>
      </c>
      <c r="F14" s="21">
        <f>1/(1+Assumptions!$B$26)^(5-0.5*Assumptions!$B$32)</f>
        <v>0.69702272836316</v>
      </c>
    </row>
    <row r="15" spans="1:6" x14ac:dyDescent="0.25">
      <c r="A15" s="19" t="s">
        <v>51</v>
      </c>
      <c r="B15" s="20">
        <f>B13*B14</f>
        <v>-21808166.33963703</v>
      </c>
      <c r="C15" s="20">
        <f>C13*C14</f>
        <v>-22660562.83472906</v>
      </c>
      <c r="D15" s="20">
        <f>D13*D14</f>
        <v>-23546276.19715965</v>
      </c>
      <c r="E15" s="20">
        <f>E13*E14</f>
        <v>-24466608.65383377</v>
      </c>
      <c r="F15" s="20">
        <f>F13*F14</f>
        <v>-25422913.330647234</v>
      </c>
    </row>
    <row r="17" spans="1:2" x14ac:dyDescent="0.25">
      <c r="A17" s="22" t="s">
        <v>52</v>
      </c>
      <c r="B17" s="23">
        <f>SUM(B15:F15)</f>
        <v>-117904527.35600674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-36473578.68852949</v>
      </c>
    </row>
    <row r="5" spans="1:2" x14ac:dyDescent="0.25">
      <c r="A5" t="s">
        <v>56</v>
      </c>
      <c r="B5" s="18">
        <f>IF(Assumptions!$B$33=0,B4,B4-Forecast!F11-Forecast!F10-Forecast!F12)</f>
        <v>9698511896.302834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0.25083713542453817</v>
      </c>
    </row>
    <row r="7" spans="1:2" x14ac:dyDescent="0.25">
      <c r="A7" t="s">
        <v>58</v>
      </c>
      <c r="B7" s="18">
        <f>-MAX(Forecast!F9,0)*B6</f>
        <v>-2432746941.9494085</v>
      </c>
    </row>
    <row r="8" spans="1:2" x14ac:dyDescent="0.25">
      <c r="A8" t="s">
        <v>59</v>
      </c>
      <c r="B8" s="18">
        <f>IF(OR(Assumptions!$B$33=0,Assumptions!B12&lt;=0),B5,MAX(B5+B7,0))</f>
        <v>7265764954.353425</v>
      </c>
    </row>
    <row r="9" spans="1:2" x14ac:dyDescent="0.25">
      <c r="A9" t="s">
        <v>60</v>
      </c>
      <c r="B9" s="18">
        <f>B8*(1+Assumptions!B12)/(Assumptions!B26-Assumptions!B12)</f>
        <v>127278467135.96696</v>
      </c>
    </row>
    <row r="10" spans="1:2" x14ac:dyDescent="0.25">
      <c r="A10" t="s">
        <v>61</v>
      </c>
      <c r="B10" s="18">
        <f>B9/(1+Assumptions!B26)^(5-0.5*Assumptions!B32)</f>
        <v>88715984424.9925</v>
      </c>
    </row>
    <row r="11" spans="1:2" x14ac:dyDescent="0.25">
      <c r="A11" t="s">
        <v>62</v>
      </c>
      <c r="B11" s="18">
        <f>Forecast!B17+B10</f>
        <v>88598079897.63649</v>
      </c>
    </row>
    <row r="12" spans="1:2" x14ac:dyDescent="0.25">
      <c r="A12" t="s">
        <v>63</v>
      </c>
      <c r="B12" s="18">
        <f>-Assumptions!B30</f>
        <v>12628696000</v>
      </c>
    </row>
    <row r="13" spans="1:2" x14ac:dyDescent="0.25">
      <c r="A13" t="s">
        <v>64</v>
      </c>
      <c r="B13" s="18">
        <f>B11+B12</f>
        <v>101226775897.63649</v>
      </c>
    </row>
    <row r="14" spans="1:2" x14ac:dyDescent="0.25">
      <c r="A14" s="19" t="s">
        <v>65</v>
      </c>
      <c r="B14" s="24">
        <f>B13/Assumptions!B31</f>
        <v>24.24143777776897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14093704630.001102</v>
      </c>
    </row>
    <row r="18" spans="1:2" x14ac:dyDescent="0.25">
      <c r="A18" t="s">
        <v>60</v>
      </c>
      <c r="B18" s="18">
        <f>B17*Assumptions!B13</f>
        <v>281874092600.02203</v>
      </c>
    </row>
    <row r="19" spans="1:2" x14ac:dyDescent="0.25">
      <c r="A19" t="s">
        <v>61</v>
      </c>
      <c r="B19" s="18">
        <f>B18/(1+Assumptions!B26)^(5-0.5*Assumptions!B32)</f>
        <v>196472649078.95737</v>
      </c>
    </row>
    <row r="20" spans="1:2" x14ac:dyDescent="0.25">
      <c r="A20" t="s">
        <v>62</v>
      </c>
      <c r="B20" s="18">
        <f>Forecast!B17+B19</f>
        <v>196354744551.60135</v>
      </c>
    </row>
    <row r="21" spans="1:2" x14ac:dyDescent="0.25">
      <c r="A21" t="s">
        <v>63</v>
      </c>
      <c r="B21" s="18">
        <f>-Assumptions!B30</f>
        <v>12628696000</v>
      </c>
    </row>
    <row r="22" spans="1:2" x14ac:dyDescent="0.25">
      <c r="A22" t="s">
        <v>64</v>
      </c>
      <c r="B22" s="18">
        <f>B20+B21</f>
        <v>208983440551.60135</v>
      </c>
    </row>
    <row r="23" spans="1:2" x14ac:dyDescent="0.25">
      <c r="A23" s="19" t="s">
        <v>65</v>
      </c>
      <c r="B23" s="25">
        <f>B22/Assumptions!B31</f>
        <v>50.046630704100195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50.35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28.38187535021191</v>
      </c>
    </row>
    <row r="29" spans="1:2" x14ac:dyDescent="0.25">
      <c r="A29" s="19" t="s">
        <v>73</v>
      </c>
      <c r="B29" s="12">
        <f>B28/B26-1</f>
        <v>-0.4363083346531895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0.063513</v>
      </c>
      <c r="B5" s="31">
        <v>34.283923522464264</v>
      </c>
      <c r="C5" s="31">
        <v>35.98088695617308</v>
      </c>
      <c r="D5" s="31">
        <v>38.095539437169556</v>
      </c>
      <c r="E5" s="31">
        <v>40.81483336330871</v>
      </c>
      <c r="F5" s="31">
        <v>44.45685598171081</v>
      </c>
    </row>
    <row r="6" spans="1:6" x14ac:dyDescent="0.25">
      <c r="A6" s="30">
        <v>0.073513</v>
      </c>
      <c r="B6" s="31">
        <v>27.86737715536896</v>
      </c>
      <c r="C6" s="31">
        <v>28.71129157381407</v>
      </c>
      <c r="D6" s="31">
        <v>29.711708180464232</v>
      </c>
      <c r="E6" s="31">
        <v>30.922577124081318</v>
      </c>
      <c r="F6" s="31">
        <v>32.42586514458444</v>
      </c>
    </row>
    <row r="7" spans="1:6" x14ac:dyDescent="0.25">
      <c r="A7" s="30">
        <v>0.083513</v>
      </c>
      <c r="B7" s="31">
        <v>23.3697350303823</v>
      </c>
      <c r="C7" s="31">
        <v>23.777609416724534</v>
      </c>
      <c r="D7" s="32">
        <v>24.241310605777336</v>
      </c>
      <c r="E7" s="31">
        <v>24.77648716967568</v>
      </c>
      <c r="F7" s="31">
        <v>25.405238970779823</v>
      </c>
    </row>
    <row r="8" spans="1:6" x14ac:dyDescent="0.25">
      <c r="A8" s="30">
        <v>0.093513</v>
      </c>
      <c r="B8" s="31">
        <v>20.055440528494614</v>
      </c>
      <c r="C8" s="31">
        <v>20.224212492173404</v>
      </c>
      <c r="D8" s="31">
        <v>20.406244130710913</v>
      </c>
      <c r="E8" s="31">
        <v>20.604667009658787</v>
      </c>
      <c r="F8" s="31">
        <v>20.823683077407207</v>
      </c>
    </row>
    <row r="9" spans="1:6" x14ac:dyDescent="0.25">
      <c r="A9" s="30">
        <v>0.103513</v>
      </c>
      <c r="B9" s="31">
        <v>17.617106446896628</v>
      </c>
      <c r="C9" s="31">
        <v>17.68912504110428</v>
      </c>
      <c r="D9" s="31">
        <v>17.761143635311925</v>
      </c>
      <c r="E9" s="31">
        <v>17.83316222951958</v>
      </c>
      <c r="F9" s="31">
        <v>17.905180823727232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21790018000</v>
      </c>
      <c r="C5" s="18">
        <v>18675371000</v>
      </c>
      <c r="D5" s="18">
        <v>17034255000</v>
      </c>
      <c r="E5" s="18">
        <v>15268660000</v>
      </c>
      <c r="F5" s="8" t="s">
        <v>84</v>
      </c>
    </row>
    <row r="6" spans="1:6" x14ac:dyDescent="0.25">
      <c r="A6" t="s">
        <v>44</v>
      </c>
      <c r="B6" s="18">
        <v>7056897000</v>
      </c>
      <c r="C6" s="18">
        <v>4973804000</v>
      </c>
      <c r="D6" s="18">
        <v>4450197000</v>
      </c>
      <c r="E6" s="18">
        <v>4798355000</v>
      </c>
      <c r="F6" s="8" t="s">
        <v>85</v>
      </c>
    </row>
    <row r="7" spans="1:6" x14ac:dyDescent="0.25">
      <c r="A7" t="s">
        <v>86</v>
      </c>
      <c r="B7" s="18">
        <v>1448446000</v>
      </c>
      <c r="C7" s="18">
        <v>1437054000</v>
      </c>
      <c r="D7" s="18">
        <v>1169376000</v>
      </c>
      <c r="E7" s="18">
        <v>800674000</v>
      </c>
      <c r="F7" s="8" t="s">
        <v>87</v>
      </c>
    </row>
    <row r="8" spans="1:6" x14ac:dyDescent="0.25">
      <c r="A8" t="s">
        <v>88</v>
      </c>
      <c r="B8" s="18">
        <v>3735719000</v>
      </c>
      <c r="C8" s="18">
        <v>3929621000</v>
      </c>
      <c r="D8" s="18">
        <v>4230514000</v>
      </c>
      <c r="E8" s="18">
        <v>5868390000</v>
      </c>
      <c r="F8" s="8" t="s">
        <v>89</v>
      </c>
    </row>
    <row r="9" spans="1:6" x14ac:dyDescent="0.25">
      <c r="A9" t="s">
        <v>90</v>
      </c>
      <c r="B9" s="18">
        <v>1731087000</v>
      </c>
      <c r="C9" s="18">
        <v>800504000</v>
      </c>
      <c r="D9" s="18">
        <v>896345000</v>
      </c>
      <c r="E9" s="18">
        <v>974472000</v>
      </c>
      <c r="F9" s="8" t="s">
        <v>91</v>
      </c>
    </row>
    <row r="10" spans="1:6" x14ac:dyDescent="0.25">
      <c r="A10" t="s">
        <v>92</v>
      </c>
      <c r="B10" s="18">
        <v>3104066000</v>
      </c>
      <c r="C10" s="18">
        <v>4939849000</v>
      </c>
      <c r="D10" s="18">
        <v>4561359000</v>
      </c>
      <c r="E10" s="18">
        <v>4421661000</v>
      </c>
      <c r="F10" s="8" t="s">
        <v>93</v>
      </c>
    </row>
    <row r="11" spans="1:6" x14ac:dyDescent="0.25">
      <c r="A11" t="s">
        <v>94</v>
      </c>
      <c r="B11" s="18">
        <v>15732762000</v>
      </c>
      <c r="C11" s="18">
        <v>10709791000</v>
      </c>
      <c r="D11" s="18">
        <v>11243437000</v>
      </c>
      <c r="E11" s="18">
        <v>8714323000</v>
      </c>
      <c r="F11" s="8" t="s">
        <v>95</v>
      </c>
    </row>
    <row r="12" spans="1:6" x14ac:dyDescent="0.25">
      <c r="A12" t="s">
        <v>32</v>
      </c>
      <c r="B12" s="34">
        <v>4175774425</v>
      </c>
      <c r="C12" s="34">
        <v>4227164567</v>
      </c>
      <c r="D12" s="34">
        <v>4348874478</v>
      </c>
      <c r="E12" s="34">
        <v>4375907893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0" ht="38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2026-09-19T00:09:36Z</dcterms:modified>
</cp:coreProperties>
</file>