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<sst xmlns="http://schemas.openxmlformats.org/spreadsheetml/2006/main" count="113" uniqueCount="101">
  <si>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Shenzhou International Group Holdings Limited (2313.HK)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</si>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</sst>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0.037145895001117646</v>
      </c>
    </row>
    <row r="7" spans="1:2" x14ac:dyDescent="0.25">
      <c r="A7" t="s">
        <v>5</v>
      </c>
      <c r="B7" s="6">
        <v>0.1817979587856138</v>
      </c>
    </row>
    <row r="8" spans="1:2" x14ac:dyDescent="0.25">
      <c r="A8" t="s">
        <v>6</v>
      </c>
      <c r="B8" s="6">
        <v>0.12748197237374126</v>
      </c>
    </row>
    <row r="9" spans="1:2" x14ac:dyDescent="0.25">
      <c r="A9" t="s">
        <v>7</v>
      </c>
      <c r="B9" s="6">
        <v>0.05263777979309283</v>
      </c>
    </row>
    <row r="10" spans="1:2" x14ac:dyDescent="0.25">
      <c r="A10" t="s">
        <v>8</v>
      </c>
      <c r="B10" s="6">
        <v>0.0633241062965996</v>
      </c>
    </row>
    <row r="11" spans="1:2" x14ac:dyDescent="0.25">
      <c r="A11" t="s">
        <v>9</v>
      </c>
      <c r="B11" s="6">
        <v>0.2172564370768073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5.169717832515515</v>
      </c>
    </row>
    <row r="14" spans="1:3" x14ac:dyDescent="0.25">
      <c r="A14" t="s">
        <v>12</v>
      </c>
      <c r="B14" s="6">
        <v>0.09649390441889792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1.0737</v>
      </c>
      <c r="C19" s="8" t="s">
        <v>19</v>
      </c>
    </row>
    <row r="20" spans="1:2" x14ac:dyDescent="0.25">
      <c r="A20" t="s">
        <v>20</v>
      </c>
      <c r="B20" s="10">
        <f>B17+B19*B18</f>
        <v>0.10715900000000002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52659372032</v>
      </c>
    </row>
    <row r="23" spans="1:2" x14ac:dyDescent="0.25">
      <c r="A23" t="s">
        <v>24</v>
      </c>
      <c r="B23" s="11">
        <v>14869471000</v>
      </c>
    </row>
    <row r="24" spans="1:2" x14ac:dyDescent="0.25">
      <c r="A24" t="s">
        <v>25</v>
      </c>
      <c r="B24" s="10">
        <f>B22/(B22+B23)</f>
        <v>0.7798056307146595</v>
      </c>
    </row>
    <row r="25" spans="1:2" x14ac:dyDescent="0.25">
      <c r="A25" t="s">
        <v>26</v>
      </c>
      <c r="B25" s="10">
        <f>1-B24</f>
        <v>0.22019436928534053</v>
      </c>
    </row>
    <row r="26" spans="1:2" x14ac:dyDescent="0.25">
      <c r="A26" t="s">
        <v>27</v>
      </c>
      <c r="B26" s="12">
        <f>B24*B20+B25*B21*(1-B8)</f>
        <v>0.08971114539881632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30993732000</v>
      </c>
      <c r="C29" s="8" t="s">
        <v>30</v>
      </c>
    </row>
    <row r="30" spans="1:2" x14ac:dyDescent="0.25">
      <c r="A30" t="s">
        <v>31</v>
      </c>
      <c r="B30" s="11">
        <v>-13178330000</v>
      </c>
    </row>
    <row r="31" spans="1:2" x14ac:dyDescent="0.25">
      <c r="A31" t="s">
        <v>32</v>
      </c>
      <c r="B31" s="13">
        <v>1503222397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0.037145895001117646</v>
      </c>
      <c r="C5" s="10">
        <f>Assumptions!B6</f>
        <v>0.037145895001117646</v>
      </c>
      <c r="D5" s="10">
        <f>Assumptions!B6</f>
        <v>0.037145895001117646</v>
      </c>
      <c r="E5" s="10">
        <f>Assumptions!B6</f>
        <v>0.037145895001117646</v>
      </c>
      <c r="F5" s="10">
        <f>Assumptions!B6</f>
        <v>0.037145895001117646</v>
      </c>
    </row>
    <row r="6" spans="1:6" x14ac:dyDescent="0.25">
      <c r="A6" t="s">
        <v>43</v>
      </c>
      <c r="B6" s="18">
        <f>Assumptions!B29*(1+B5)</f>
        <v>32145021914.56478</v>
      </c>
      <c r="C6" s="18">
        <f>B6*(1+C5)</f>
        <v>33339077523.41183</v>
      </c>
      <c r="D6" s="18">
        <f>C6*(1+D5)</f>
        <v>34577487396.53061</v>
      </c>
      <c r="E6" s="18">
        <f>D6*(1+E5)</f>
        <v>35861899112.7646</v>
      </c>
      <c r="F6" s="18">
        <f>E6*(1+F5)</f>
        <v>37194021451.74803</v>
      </c>
    </row>
    <row r="7" spans="1:6" x14ac:dyDescent="0.25">
      <c r="A7" t="s">
        <v>5</v>
      </c>
      <c r="B7" s="10">
        <f>Assumptions!B7</f>
        <v>0.1817979587856138</v>
      </c>
      <c r="C7" s="10">
        <f>Assumptions!B7</f>
        <v>0.1817979587856138</v>
      </c>
      <c r="D7" s="10">
        <f>Assumptions!B7</f>
        <v>0.1817979587856138</v>
      </c>
      <c r="E7" s="10">
        <f>Assumptions!B7</f>
        <v>0.1817979587856138</v>
      </c>
      <c r="F7" s="10">
        <f>Assumptions!B7</f>
        <v>0.1817979587856138</v>
      </c>
    </row>
    <row r="8" spans="1:6" x14ac:dyDescent="0.25">
      <c r="A8" t="s">
        <v>44</v>
      </c>
      <c r="B8" s="18">
        <f>B6*B7</f>
        <v>5843899369.186701</v>
      </c>
      <c r="C8" s="18">
        <f>C6*C7</f>
        <v>6060976241.551608</v>
      </c>
      <c r="D8" s="18">
        <f>D6*D7</f>
        <v>6286116628.624553</v>
      </c>
      <c r="E8" s="18">
        <f>E6*E7</f>
        <v>6519620056.87622</v>
      </c>
      <c r="F8" s="18">
        <f>F6*F7</f>
        <v>6761797178.956124</v>
      </c>
    </row>
    <row r="9" spans="1:6" x14ac:dyDescent="0.25">
      <c r="A9" t="s">
        <v>45</v>
      </c>
      <c r="B9" s="18">
        <f>B8*(1-Assumptions!B8)</f>
        <v>5098907551.249118</v>
      </c>
      <c r="C9" s="18">
        <f>C8*(1-Assumptions!B8)</f>
        <v>5288311035.768224</v>
      </c>
      <c r="D9" s="18">
        <f>D8*(1-Assumptions!B8)</f>
        <v>5484750082.236122</v>
      </c>
      <c r="E9" s="18">
        <f>E8*(1-Assumptions!B8)</f>
        <v>5688486032.898236</v>
      </c>
      <c r="F9" s="18">
        <f>F8*(1-Assumptions!B8)</f>
        <v>5899789937.791598</v>
      </c>
    </row>
    <row r="10" spans="1:6" x14ac:dyDescent="0.25">
      <c r="A10" t="s">
        <v>46</v>
      </c>
      <c r="B10" s="18">
        <f>B6*Assumptions!B9</f>
        <v>1692042584.9830043</v>
      </c>
      <c r="C10" s="18">
        <f>C6*Assumptions!B9</f>
        <v>1754895021.1822026</v>
      </c>
      <c r="D10" s="18">
        <f>D6*Assumptions!B9</f>
        <v>1820082167.3770208</v>
      </c>
      <c r="E10" s="18">
        <f>E6*Assumptions!B9</f>
        <v>1887690748.4598143</v>
      </c>
      <c r="F10" s="18">
        <f>F6*Assumptions!B9</f>
        <v>1957810710.7966838</v>
      </c>
    </row>
    <row r="11" spans="1:6" x14ac:dyDescent="0.25">
      <c r="A11" t="s">
        <v>47</v>
      </c>
      <c r="B11" s="18">
        <f>-B6*Assumptions!B10</f>
        <v>-2035554784.6244237</v>
      </c>
      <c r="C11" s="18">
        <f>-C6*Assumptions!B10</f>
        <v>-2111167288.9231052</v>
      </c>
      <c r="D11" s="18">
        <f>-D6*Assumptions!B10</f>
        <v>-2189588487.367237</v>
      </c>
      <c r="E11" s="18">
        <f>-E6*Assumptions!B10</f>
        <v>-2270922711.4146366</v>
      </c>
      <c r="F11" s="18">
        <f>-F6*Assumptions!B10</f>
        <v>-2355278168.008498</v>
      </c>
    </row>
    <row r="12" spans="1:6" x14ac:dyDescent="0.25">
      <c r="A12" t="s">
        <v>48</v>
      </c>
      <c r="B12" s="18">
        <f>-(B6-Assumptions!B29)*Assumptions!B11</f>
        <v>-250125144.88080624</v>
      </c>
      <c r="C12" s="18">
        <f>-(C6-B6)*Assumptions!B11</f>
        <v>-259416267.24968788</v>
      </c>
      <c r="D12" s="18">
        <f>-(D6-C6)*Assumptions!B11</f>
        <v>-269052516.67452675</v>
      </c>
      <c r="E12" s="18">
        <f>-(E6-D6)*Assumptions!B11</f>
        <v>-279046713.2087047</v>
      </c>
      <c r="F12" s="18">
        <f>-(F6-E6)*Assumptions!B11</f>
        <v>-289412153.1179627</v>
      </c>
    </row>
    <row r="13" spans="1:6" x14ac:dyDescent="0.25">
      <c r="A13" s="19" t="s">
        <v>49</v>
      </c>
      <c r="B13" s="20">
        <f>B9+B10+B11+B12</f>
        <v>4505270206.726892</v>
      </c>
      <c r="C13" s="20">
        <f>C9+C10+C11+C12</f>
        <v>4672622500.777633</v>
      </c>
      <c r="D13" s="20">
        <f>D9+D10+D11+D12</f>
        <v>4846191245.571379</v>
      </c>
      <c r="E13" s="20">
        <f>E9+E10+E11+E12</f>
        <v>5026207356.734709</v>
      </c>
      <c r="F13" s="20">
        <f>F9+F10+F11+F12</f>
        <v>5212910327.461821</v>
      </c>
    </row>
    <row r="14" spans="1:6" x14ac:dyDescent="0.25">
      <c r="A14" t="s">
        <v>50</v>
      </c>
      <c r="B14" s="21">
        <f>1/(1+Assumptions!$B$26)^(1-0.5*Assumptions!$B$32)</f>
        <v>0.9579532244556965</v>
      </c>
      <c r="C14" s="21">
        <f>1/(1+Assumptions!$B$26)^(2-0.5*Assumptions!$B$32)</f>
        <v>0.8790891315561441</v>
      </c>
      <c r="D14" s="21">
        <f>1/(1+Assumptions!$B$26)^(3-0.5*Assumptions!$B$32)</f>
        <v>0.8067175739809579</v>
      </c>
      <c r="E14" s="21">
        <f>1/(1+Assumptions!$B$26)^(4-0.5*Assumptions!$B$32)</f>
        <v>0.7403040497357789</v>
      </c>
      <c r="F14" s="21">
        <f>1/(1+Assumptions!$B$26)^(5-0.5*Assumptions!$B$32)</f>
        <v>0.6793580600341934</v>
      </c>
    </row>
    <row r="15" spans="1:6" x14ac:dyDescent="0.25">
      <c r="A15" s="19" t="s">
        <v>51</v>
      </c>
      <c r="B15" s="20">
        <f>B13*B14</f>
        <v>4315838121.578209</v>
      </c>
      <c r="C15" s="20">
        <f>C13*C14</f>
        <v>4107651656.2983074</v>
      </c>
      <c r="D15" s="20">
        <f>D13*D14</f>
        <v>3909507644.6750994</v>
      </c>
      <c r="E15" s="20">
        <f>E13*E14</f>
        <v>3720921661.0024695</v>
      </c>
      <c r="F15" s="20">
        <f>F13*F14</f>
        <v>3541432647.1966743</v>
      </c>
    </row>
    <row r="17" spans="1:2" x14ac:dyDescent="0.25">
      <c r="A17" s="22" t="s">
        <v>52</v>
      </c>
      <c r="B17" s="23">
        <f>SUM(B15:F15)</f>
        <v>19595351730.750763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5212910327.461821</v>
      </c>
    </row>
    <row r="5" spans="1:2" x14ac:dyDescent="0.25">
      <c r="A5" t="s">
        <v>56</v>
      </c>
      <c r="B5" s="18">
        <f>IF(Assumptions!$B$33=0,B4,B4-Forecast!F11-Forecast!F10-Forecast!F12)</f>
        <v>5924436365.417343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0.25908372296213</v>
      </c>
    </row>
    <row r="7" spans="1:2" x14ac:dyDescent="0.25">
      <c r="A7" t="s">
        <v>58</v>
      </c>
      <c r="B7" s="18">
        <f>-MAX(Forecast!F9,0)*B6</f>
        <v>-1534925030.0045552</v>
      </c>
    </row>
    <row r="8" spans="1:2" x14ac:dyDescent="0.25">
      <c r="A8" t="s">
        <v>59</v>
      </c>
      <c r="B8" s="18">
        <f>IF(OR(Assumptions!$B$33=0,Assumptions!B12&lt;=0),B5,MAX(B5+B7,0))</f>
        <v>4389511335.412788</v>
      </c>
    </row>
    <row r="9" spans="1:2" x14ac:dyDescent="0.25">
      <c r="A9" t="s">
        <v>60</v>
      </c>
      <c r="B9" s="18">
        <f>B8*(1+Assumptions!B12)/(Assumptions!B26-Assumptions!B12)</f>
        <v>69528194734.7575</v>
      </c>
    </row>
    <row r="10" spans="1:2" x14ac:dyDescent="0.25">
      <c r="A10" t="s">
        <v>61</v>
      </c>
      <c r="B10" s="18">
        <f>B9/(1+Assumptions!B26)^(5-0.5*Assumptions!B32)</f>
        <v>47234539492.68448</v>
      </c>
    </row>
    <row r="11" spans="1:2" x14ac:dyDescent="0.25">
      <c r="A11" t="s">
        <v>62</v>
      </c>
      <c r="B11" s="18">
        <f>Forecast!B17+B10</f>
        <v>66829891223.43524</v>
      </c>
    </row>
    <row r="12" spans="1:2" x14ac:dyDescent="0.25">
      <c r="A12" t="s">
        <v>63</v>
      </c>
      <c r="B12" s="18">
        <f>-Assumptions!B30</f>
        <v>13178330000</v>
      </c>
    </row>
    <row r="13" spans="1:2" x14ac:dyDescent="0.25">
      <c r="A13" t="s">
        <v>64</v>
      </c>
      <c r="B13" s="18">
        <f>B11+B12</f>
        <v>80008221223.43524</v>
      </c>
    </row>
    <row r="14" spans="1:2" x14ac:dyDescent="0.25">
      <c r="A14" s="19" t="s">
        <v>65</v>
      </c>
      <c r="B14" s="24">
        <f>B13/Assumptions!B31</f>
        <v>53.224473892292096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8719607889.752808</v>
      </c>
    </row>
    <row r="18" spans="1:2" x14ac:dyDescent="0.25">
      <c r="A18" t="s">
        <v>60</v>
      </c>
      <c r="B18" s="18">
        <f>B17*Assumptions!B13</f>
        <v>45077912400.19807</v>
      </c>
    </row>
    <row r="19" spans="1:2" x14ac:dyDescent="0.25">
      <c r="A19" t="s">
        <v>61</v>
      </c>
      <c r="B19" s="18">
        <f>B18/(1+Assumptions!B26)^(5-0.5*Assumptions!B32)</f>
        <v>30624043118.58987</v>
      </c>
    </row>
    <row r="20" spans="1:2" x14ac:dyDescent="0.25">
      <c r="A20" t="s">
        <v>62</v>
      </c>
      <c r="B20" s="18">
        <f>Forecast!B17+B19</f>
        <v>50219394849.34064</v>
      </c>
    </row>
    <row r="21" spans="1:2" x14ac:dyDescent="0.25">
      <c r="A21" t="s">
        <v>63</v>
      </c>
      <c r="B21" s="18">
        <f>-Assumptions!B30</f>
        <v>13178330000</v>
      </c>
    </row>
    <row r="22" spans="1:2" x14ac:dyDescent="0.25">
      <c r="A22" t="s">
        <v>64</v>
      </c>
      <c r="B22" s="18">
        <f>B20+B21</f>
        <v>63397724849.34064</v>
      </c>
    </row>
    <row r="23" spans="1:2" x14ac:dyDescent="0.25">
      <c r="A23" s="19" t="s">
        <v>65</v>
      </c>
      <c r="B23" s="25">
        <f>B22/Assumptions!B31</f>
        <v>42.17454780867041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35.04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62.315214033095586</v>
      </c>
    </row>
    <row r="29" spans="1:2" x14ac:dyDescent="0.25">
      <c r="A29" s="19" t="s">
        <v>73</v>
      </c>
      <c r="B29" s="12">
        <f>B28/B26-1</f>
        <v>0.778402226971906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0.069711</v>
      </c>
      <c r="B5" s="31">
        <v>67.99740308604989</v>
      </c>
      <c r="C5" s="31">
        <v>69.73671769233032</v>
      </c>
      <c r="D5" s="31">
        <v>71.83131776772427</v>
      </c>
      <c r="E5" s="31">
        <v>74.4154049701276</v>
      </c>
      <c r="F5" s="31">
        <v>77.70050610387153</v>
      </c>
    </row>
    <row r="6" spans="1:6" x14ac:dyDescent="0.25">
      <c r="A6" s="30">
        <v>0.079711</v>
      </c>
      <c r="B6" s="31">
        <v>59.06551768708497</v>
      </c>
      <c r="C6" s="31">
        <v>59.888322950952706</v>
      </c>
      <c r="D6" s="31">
        <v>60.8350870817678</v>
      </c>
      <c r="E6" s="31">
        <v>61.943213933892665</v>
      </c>
      <c r="F6" s="31">
        <v>63.26683874965354</v>
      </c>
    </row>
    <row r="7" spans="1:6" x14ac:dyDescent="0.25">
      <c r="A7" s="30">
        <v>0.089711</v>
      </c>
      <c r="B7" s="31">
        <v>52.52287690590915</v>
      </c>
      <c r="C7" s="31">
        <v>52.858508832533005</v>
      </c>
      <c r="D7" s="32">
        <v>53.22456753800525</v>
      </c>
      <c r="E7" s="31">
        <v>53.62869653328243</v>
      </c>
      <c r="F7" s="31">
        <v>54.08133346978885</v>
      </c>
    </row>
    <row r="8" spans="1:6" x14ac:dyDescent="0.25">
      <c r="A8" s="30">
        <v>0.099711</v>
      </c>
      <c r="B8" s="31">
        <v>47.67784538613345</v>
      </c>
      <c r="C8" s="31">
        <v>47.806699168855005</v>
      </c>
      <c r="D8" s="31">
        <v>47.935552951576554</v>
      </c>
      <c r="E8" s="31">
        <v>48.0644067342981</v>
      </c>
      <c r="F8" s="31">
        <v>48.19326051701965</v>
      </c>
    </row>
    <row r="9" spans="1:6" x14ac:dyDescent="0.25">
      <c r="A9" s="30">
        <v>0.109711</v>
      </c>
      <c r="B9" s="31">
        <v>44.07354995432065</v>
      </c>
      <c r="C9" s="31">
        <v>44.18598433252916</v>
      </c>
      <c r="D9" s="31">
        <v>44.298418710737664</v>
      </c>
      <c r="E9" s="31">
        <v>44.410853088946176</v>
      </c>
      <c r="F9" s="31">
        <v>44.52328746715468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30993732000</v>
      </c>
      <c r="C5" s="18">
        <v>28662938000</v>
      </c>
      <c r="D5" s="18">
        <v>24969792000</v>
      </c>
      <c r="E5" s="18">
        <v>27781412000</v>
      </c>
      <c r="F5" s="8" t="s">
        <v>84</v>
      </c>
    </row>
    <row r="6" spans="1:6" x14ac:dyDescent="0.25">
      <c r="A6" t="s">
        <v>44</v>
      </c>
      <c r="B6" s="18">
        <v>6147541000</v>
      </c>
      <c r="C6" s="18">
        <v>5991593000</v>
      </c>
      <c r="D6" s="18">
        <v>4264743000</v>
      </c>
      <c r="E6" s="18">
        <v>4139753000</v>
      </c>
      <c r="F6" s="8" t="s">
        <v>85</v>
      </c>
    </row>
    <row r="7" spans="1:6" x14ac:dyDescent="0.25">
      <c r="A7" t="s">
        <v>86</v>
      </c>
      <c r="B7" s="18">
        <v>1489441000</v>
      </c>
      <c r="C7" s="18">
        <v>1522000000</v>
      </c>
      <c r="D7" s="18">
        <v>1474245000</v>
      </c>
      <c r="E7" s="18">
        <v>1398901000</v>
      </c>
      <c r="F7" s="8" t="s">
        <v>87</v>
      </c>
    </row>
    <row r="8" spans="1:6" x14ac:dyDescent="0.25">
      <c r="A8" t="s">
        <v>88</v>
      </c>
      <c r="B8" s="18">
        <v>2738982000</v>
      </c>
      <c r="C8" s="18">
        <v>1876136000</v>
      </c>
      <c r="D8" s="18">
        <v>1090607000</v>
      </c>
      <c r="E8" s="18">
        <v>1549984000</v>
      </c>
      <c r="F8" s="8" t="s">
        <v>89</v>
      </c>
    </row>
    <row r="9" spans="1:6" x14ac:dyDescent="0.25">
      <c r="A9" t="s">
        <v>90</v>
      </c>
      <c r="B9" s="18">
        <v>506380000</v>
      </c>
      <c r="C9" s="18">
        <v>1562349000</v>
      </c>
      <c r="D9" s="18">
        <v>-258815000</v>
      </c>
      <c r="E9" s="18">
        <v>1395116000</v>
      </c>
      <c r="F9" s="8" t="s">
        <v>91</v>
      </c>
    </row>
    <row r="10" spans="1:6" x14ac:dyDescent="0.25">
      <c r="A10" t="s">
        <v>92</v>
      </c>
      <c r="B10" s="18">
        <v>14869471000</v>
      </c>
      <c r="C10" s="18">
        <v>12932617000</v>
      </c>
      <c r="D10" s="18">
        <v>12262070000</v>
      </c>
      <c r="E10" s="18">
        <v>9314291000</v>
      </c>
      <c r="F10" s="8" t="s">
        <v>93</v>
      </c>
    </row>
    <row r="11" spans="1:6" x14ac:dyDescent="0.25">
      <c r="A11" t="s">
        <v>94</v>
      </c>
      <c r="B11" s="18">
        <v>28047801000</v>
      </c>
      <c r="C11" s="18">
        <v>25044302000</v>
      </c>
      <c r="D11" s="18">
        <v>16871993000</v>
      </c>
      <c r="E11" s="18">
        <v>13684447000</v>
      </c>
      <c r="F11" s="8" t="s">
        <v>95</v>
      </c>
    </row>
    <row r="12" spans="1:6" x14ac:dyDescent="0.25">
      <c r="A12" t="s">
        <v>32</v>
      </c>
      <c r="B12" s="34">
        <v>1503222397</v>
      </c>
      <c r="C12" s="34">
        <v>1503222397</v>
      </c>
      <c r="D12" s="34">
        <v>1503222397</v>
      </c>
      <c r="E12" s="34">
        <v>1503222397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