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<sst xmlns="http://schemas.openxmlformats.org/spreadsheetml/2006/main" count="117" uniqueCount="104">
  <si>
    <t>Ping An Insurance (Group) Company of China, Ltd. (2318.HK)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</si>
  <si>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</si>
  <si>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</si>
  <si>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</si>
  <si>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</si>
  <si>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</si>
  <si>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</si>
  <si>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</si>
  <si>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</si>
  <si>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</si>
  <si>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</si>
  <si>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</si>
  <si>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</si>
  <si>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</si>
  <si>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</si>
  <si>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</si>
  <si>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</si>
  <si>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</si>
  <si>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</si>
  <si>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</si>
  <si>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</si>
  <si>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</si>
  <si>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</si>
  <si>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</si>
  <si>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</si>
  <si>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</si>
  <si>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</si>
  <si>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</si>
  <si>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</si>
  <si>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</si>
  <si>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</si>
  <si>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</si>
  <si>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</si>
  <si>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</si>
  <si>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</si>
  <si>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</si>
  <si>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</si>
  <si>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</si>
  <si>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</si>
  <si>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</si>
  <si>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</si>
  <si>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</si>
  <si>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</si>
  <si>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</si>
  <si>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</si>
  <si>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</si>
  <si>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</si>
  <si>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</si>
  <si>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</si>
  <si>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</si>
  <si>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</si>
  <si>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</si>
  <si>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</si>
  <si>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</si>
  <si>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</si>
  <si>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</si>
  <si>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</si>
  <si>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</si>
  <si>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</si>
  <si>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</si>
  <si>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</si>
  <si>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</si>
  <si>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</si>
  <si>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</si>
  <si>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</si>
  <si>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</si>
  <si>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</si>
  <si>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</si>
  <si>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</si>
  <si>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</si>
  <si>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</si>
  <si>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</si>
  <si>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</si>
  <si>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</si>
  <si>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</si>
  <si>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</si>
  <si>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</si>
  <si>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</si>
  <si>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</si>
  <si>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</si>
  <si>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</si>
  <si>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</si>
  <si>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</si>
  <si>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</si>
  <si>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</si>
  <si>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</si>
  <si>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</si>
  <si>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</si>
  <si>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</si>
  <si>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</si>
  <si>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</si>
  <si>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</si>
  <si>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</si>
  <si>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</si>
  <si>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</si>
  <si>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</si>
  <si>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</si>
  <si>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</si>
  <si>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</si>
  <si>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</si>
  <si>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CNY, trades in HKD. Modelled in CNY, converted at the end.</t>
  </si>
  <si>
    <t>Adjusted: Reported capital expenditure averages just 0.94% of revenue, which is too low to be the company's real investment - property trusts and similar structures invest through lines that are not reported as capex. Capex has been set to 1.80% of revenue so the forecast is not handed free growth. Override it if the reported figure is right.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</si>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</sst>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0.06698485589880865</v>
      </c>
    </row>
    <row r="7" spans="1:2" x14ac:dyDescent="0.25">
      <c r="A7" t="s">
        <v>5</v>
      </c>
      <c r="B7" s="6">
        <v>0.18052782281556434</v>
      </c>
    </row>
    <row r="8" spans="1:2" x14ac:dyDescent="0.25">
      <c r="A8" t="s">
        <v>6</v>
      </c>
      <c r="B8" s="6">
        <v>0.11482048790126237</v>
      </c>
    </row>
    <row r="9" spans="1:2" x14ac:dyDescent="0.25">
      <c r="A9" t="s">
        <v>7</v>
      </c>
      <c r="B9" s="6">
        <v>0.02139024211324116</v>
      </c>
    </row>
    <row r="10" spans="1:2" x14ac:dyDescent="0.25">
      <c r="A10" t="s">
        <v>8</v>
      </c>
      <c r="B10" s="6">
        <v>0.01799910389474825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6.838421936637266</v>
      </c>
    </row>
    <row r="14" spans="1:3" x14ac:dyDescent="0.25">
      <c r="A14" t="s">
        <v>12</v>
      </c>
      <c r="B14" s="6">
        <v>0.05953159613931881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0.7072099999999999</v>
      </c>
      <c r="C19" s="8" t="s">
        <v>19</v>
      </c>
    </row>
    <row r="20" spans="1:2" x14ac:dyDescent="0.25">
      <c r="A20" t="s">
        <v>20</v>
      </c>
      <c r="B20" s="10">
        <f>B17+B19*B18</f>
        <v>0.0815047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963326574592</v>
      </c>
    </row>
    <row r="23" spans="1:2" x14ac:dyDescent="0.25">
      <c r="A23" t="s">
        <v>24</v>
      </c>
      <c r="B23" s="11">
        <v>1438514000000</v>
      </c>
    </row>
    <row r="24" spans="1:2" x14ac:dyDescent="0.25">
      <c r="A24" t="s">
        <v>25</v>
      </c>
      <c r="B24" s="10">
        <f>B22/(B22+B23)</f>
        <v>0.4010784832193286</v>
      </c>
    </row>
    <row r="25" spans="1:2" x14ac:dyDescent="0.25">
      <c r="A25" t="s">
        <v>26</v>
      </c>
      <c r="B25" s="10">
        <f>1-B24</f>
        <v>0.5989215167806714</v>
      </c>
    </row>
    <row r="26" spans="1:2" x14ac:dyDescent="0.25">
      <c r="A26" t="s">
        <v>27</v>
      </c>
      <c r="B26" s="12">
        <f>B24*B20+B25*B21*(1-B8)</f>
        <v>0.04965467924354563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927890000000</v>
      </c>
      <c r="C29" s="8" t="s">
        <v>30</v>
      </c>
    </row>
    <row r="30" spans="1:2" x14ac:dyDescent="0.25">
      <c r="A30" t="s">
        <v>31</v>
      </c>
      <c r="B30" s="11">
        <v>419840000000</v>
      </c>
    </row>
    <row r="31" spans="1:2" x14ac:dyDescent="0.25">
      <c r="A31" t="s">
        <v>32</v>
      </c>
      <c r="B31" s="13">
        <v>18115322581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0.06698485589880865</v>
      </c>
      <c r="C5" s="10">
        <f>Assumptions!B6</f>
        <v>0.06698485589880865</v>
      </c>
      <c r="D5" s="10">
        <f>Assumptions!B6</f>
        <v>0.06698485589880865</v>
      </c>
      <c r="E5" s="10">
        <f>Assumptions!B6</f>
        <v>0.06698485589880865</v>
      </c>
      <c r="F5" s="10">
        <f>Assumptions!B6</f>
        <v>0.06698485589880865</v>
      </c>
    </row>
    <row r="6" spans="1:6" x14ac:dyDescent="0.25">
      <c r="A6" t="s">
        <v>43</v>
      </c>
      <c r="B6" s="18">
        <f>Assumptions!B29*(1+B5)</f>
        <v>990044577939.9456</v>
      </c>
      <c r="C6" s="18">
        <f>B6*(1+C5)</f>
        <v>1056362571326.6497</v>
      </c>
      <c r="D6" s="18">
        <f>C6*(1+D5)</f>
        <v>1127122865943.8604</v>
      </c>
      <c r="E6" s="18">
        <f>D6*(1+E5)</f>
        <v>1202623028699.362</v>
      </c>
      <c r="F6" s="18">
        <f>E6*(1+F5)</f>
        <v>1283180558977.3777</v>
      </c>
    </row>
    <row r="7" spans="1:6" x14ac:dyDescent="0.25">
      <c r="A7" t="s">
        <v>5</v>
      </c>
      <c r="B7" s="10">
        <f>Assumptions!B7</f>
        <v>0.18052782281556434</v>
      </c>
      <c r="C7" s="10">
        <f>Assumptions!B7</f>
        <v>0.18052782281556434</v>
      </c>
      <c r="D7" s="10">
        <f>Assumptions!B7</f>
        <v>0.18052782281556434</v>
      </c>
      <c r="E7" s="10">
        <f>Assumptions!B7</f>
        <v>0.18052782281556434</v>
      </c>
      <c r="F7" s="10">
        <f>Assumptions!B7</f>
        <v>0.18052782281556434</v>
      </c>
    </row>
    <row r="8" spans="1:6" x14ac:dyDescent="0.25">
      <c r="A8" t="s">
        <v>44</v>
      </c>
      <c r="B8" s="18">
        <f>B6*B7</f>
        <v>178730592145.85266</v>
      </c>
      <c r="C8" s="18">
        <f>C6*C7</f>
        <v>190702835105.45135</v>
      </c>
      <c r="D8" s="18">
        <f>D6*D7</f>
        <v>203477037034.4843</v>
      </c>
      <c r="E8" s="18">
        <f>E6*E7</f>
        <v>217106917038.95578</v>
      </c>
      <c r="F8" s="18">
        <f>F6*F7</f>
        <v>231649792591.44485</v>
      </c>
    </row>
    <row r="9" spans="1:6" x14ac:dyDescent="0.25">
      <c r="A9" t="s">
        <v>45</v>
      </c>
      <c r="B9" s="18">
        <f>B8*(1-Assumptions!B8)</f>
        <v>158208658352.7843</v>
      </c>
      <c r="C9" s="18">
        <f>C8*(1-Assumptions!B8)</f>
        <v>168806242534.48944</v>
      </c>
      <c r="D9" s="18">
        <f>D8*(1-Assumptions!B8)</f>
        <v>180113704365.48157</v>
      </c>
      <c r="E9" s="18">
        <f>E8*(1-Assumptions!B8)</f>
        <v>192178594897.804</v>
      </c>
      <c r="F9" s="18">
        <f>F8*(1-Assumptions!B8)</f>
        <v>205051650383.8689</v>
      </c>
    </row>
    <row r="10" spans="1:6" x14ac:dyDescent="0.25">
      <c r="A10" t="s">
        <v>46</v>
      </c>
      <c r="B10" s="18">
        <f>B6*Assumptions!B9</f>
        <v>21177293225.037094</v>
      </c>
      <c r="C10" s="18">
        <f>C6*Assumptions!B9</f>
        <v>22595851160.04302</v>
      </c>
      <c r="D10" s="18">
        <f>D6*Assumptions!B9</f>
        <v>24109430993.90943</v>
      </c>
      <c r="E10" s="18">
        <f>E6*Assumptions!B9</f>
        <v>25724397754.838726</v>
      </c>
      <c r="F10" s="18">
        <f>F6*Assumptions!B9</f>
        <v>27447542831.530235</v>
      </c>
    </row>
    <row r="11" spans="1:6" x14ac:dyDescent="0.25">
      <c r="A11" t="s">
        <v>47</v>
      </c>
      <c r="B11" s="18">
        <f>-B6*Assumptions!B10</f>
        <v>-17819915218.773262</v>
      </c>
      <c r="C11" s="18">
        <f>-C6*Assumptions!B10</f>
        <v>-19013579671.831776</v>
      </c>
      <c r="D11" s="18">
        <f>-D6*Assumptions!B10</f>
        <v>-20287201566.269947</v>
      </c>
      <c r="E11" s="18">
        <f>-E6*Assumptions!B10</f>
        <v>-21646136839.776623</v>
      </c>
      <c r="F11" s="18">
        <f>-F6*Assumptions!B10</f>
        <v>-23096100196.754955</v>
      </c>
    </row>
    <row r="12" spans="1:6" x14ac:dyDescent="0.25">
      <c r="A12" t="s">
        <v>48</v>
      </c>
      <c r="B12" s="18">
        <f>-(B6-Assumptions!B29)*Assumptions!B11</f>
        <v>62154577939.94556</v>
      </c>
      <c r="C12" s="18">
        <f>-(C6-B6)*Assumptions!B11</f>
        <v>66317993386.7041</v>
      </c>
      <c r="D12" s="18">
        <f>-(D6-C6)*Assumptions!B11</f>
        <v>70760294617.2107</v>
      </c>
      <c r="E12" s="18">
        <f>-(E6-D6)*Assumptions!B11</f>
        <v>75500162755.50171</v>
      </c>
      <c r="F12" s="18">
        <f>-(F6-E6)*Assumptions!B11</f>
        <v>80557530278.01562</v>
      </c>
    </row>
    <row r="13" spans="1:6" x14ac:dyDescent="0.25">
      <c r="A13" s="19" t="s">
        <v>49</v>
      </c>
      <c r="B13" s="20">
        <f>B9+B10+B11+B12</f>
        <v>223720614298.9937</v>
      </c>
      <c r="C13" s="20">
        <f>C9+C10+C11+C12</f>
        <v>238706507409.4048</v>
      </c>
      <c r="D13" s="20">
        <f>D9+D10+D11+D12</f>
        <v>254696228410.33173</v>
      </c>
      <c r="E13" s="20">
        <f>E9+E10+E11+E12</f>
        <v>271757018568.3678</v>
      </c>
      <c r="F13" s="20">
        <f>F9+F10+F11+F12</f>
        <v>289960623296.6598</v>
      </c>
    </row>
    <row r="14" spans="1:6" x14ac:dyDescent="0.25">
      <c r="A14" t="s">
        <v>50</v>
      </c>
      <c r="B14" s="21">
        <f>1/(1+Assumptions!$B$26)^(1-0.5*Assumptions!$B$32)</f>
        <v>0.9760605880425732</v>
      </c>
      <c r="C14" s="21">
        <f>1/(1+Assumptions!$B$26)^(2-0.5*Assumptions!$B$32)</f>
        <v>0.929887330894376</v>
      </c>
      <c r="D14" s="21">
        <f>1/(1+Assumptions!$B$26)^(3-0.5*Assumptions!$B$32)</f>
        <v>0.8858983333114063</v>
      </c>
      <c r="E14" s="21">
        <f>1/(1+Assumptions!$B$26)^(4-0.5*Assumptions!$B$32)</f>
        <v>0.8439902673037637</v>
      </c>
      <c r="F14" s="21">
        <f>1/(1+Assumptions!$B$26)^(5-0.5*Assumptions!$B$32)</f>
        <v>0.8040646928873806</v>
      </c>
    </row>
    <row r="15" spans="1:6" x14ac:dyDescent="0.25">
      <c r="A15" s="19" t="s">
        <v>51</v>
      </c>
      <c r="B15" s="20">
        <f>B13*B14</f>
        <v>218364874349.9215</v>
      </c>
      <c r="C15" s="20">
        <f>C13*C14</f>
        <v>221970157042.05002</v>
      </c>
      <c r="D15" s="20">
        <f>D13*D14</f>
        <v>225634964249.41412</v>
      </c>
      <c r="E15" s="20">
        <f>E13*E14</f>
        <v>229360278743.1906</v>
      </c>
      <c r="F15" s="20">
        <f>F13*F14</f>
        <v>233147099520.46222</v>
      </c>
    </row>
    <row r="17" spans="1:2" x14ac:dyDescent="0.25">
      <c r="A17" s="22" t="s">
        <v>52</v>
      </c>
      <c r="B17" s="23">
        <f>SUM(B15:F15)</f>
        <v>1128477373905.0386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289960623296.6598</v>
      </c>
    </row>
    <row r="5" spans="1:2" x14ac:dyDescent="0.25">
      <c r="A5" t="s">
        <v>56</v>
      </c>
      <c r="B5" s="18">
        <f>IF(Assumptions!$B$33=0,B4,B4-Forecast!F11-Forecast!F10-Forecast!F12)</f>
        <v>208903458252.24493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0.4199450648273188</v>
      </c>
    </row>
    <row r="7" spans="1:2" x14ac:dyDescent="0.25">
      <c r="A7" t="s">
        <v>58</v>
      </c>
      <c r="B7" s="18">
        <f>-MAX(Forecast!F9,0)*B6</f>
        <v>-87727976318.39009</v>
      </c>
    </row>
    <row r="8" spans="1:2" x14ac:dyDescent="0.25">
      <c r="A8" t="s">
        <v>59</v>
      </c>
      <c r="B8" s="18">
        <f>IF(OR(Assumptions!$B$33=0,Assumptions!B12&lt;=0),B5,MAX(B5+B7,0))</f>
        <v>121175481933.85484</v>
      </c>
    </row>
    <row r="9" spans="1:2" x14ac:dyDescent="0.25">
      <c r="A9" t="s">
        <v>60</v>
      </c>
      <c r="B9" s="18">
        <f>B8*(1+Assumptions!B12)/(Assumptions!B26-Assumptions!B12)</f>
        <v>5037780769941.143</v>
      </c>
    </row>
    <row r="10" spans="1:2" x14ac:dyDescent="0.25">
      <c r="A10" t="s">
        <v>61</v>
      </c>
      <c r="B10" s="18">
        <f>B9/(1+Assumptions!B26)^(5-0.5*Assumptions!B32)</f>
        <v>4050701647616.6763</v>
      </c>
    </row>
    <row r="11" spans="1:2" x14ac:dyDescent="0.25">
      <c r="A11" t="s">
        <v>62</v>
      </c>
      <c r="B11" s="18">
        <f>Forecast!B17+B10</f>
        <v>5179179021521.715</v>
      </c>
    </row>
    <row r="12" spans="1:2" x14ac:dyDescent="0.25">
      <c r="A12" t="s">
        <v>63</v>
      </c>
      <c r="B12" s="18">
        <f>-Assumptions!B30</f>
        <v>-419840000000</v>
      </c>
    </row>
    <row r="13" spans="1:2" x14ac:dyDescent="0.25">
      <c r="A13" t="s">
        <v>64</v>
      </c>
      <c r="B13" s="18">
        <f>B11+B12</f>
        <v>4759339021521.715</v>
      </c>
    </row>
    <row r="14" spans="1:2" x14ac:dyDescent="0.25">
      <c r="A14" s="19" t="s">
        <v>65</v>
      </c>
      <c r="B14" s="24">
        <f>B13/Assumptions!B31</f>
        <v>262.72449746566923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259097335422.9751</v>
      </c>
    </row>
    <row r="18" spans="1:2" x14ac:dyDescent="0.25">
      <c r="A18" t="s">
        <v>60</v>
      </c>
      <c r="B18" s="18">
        <f>B17*Assumptions!B13</f>
        <v>1771816902280.7366</v>
      </c>
    </row>
    <row r="19" spans="1:2" x14ac:dyDescent="0.25">
      <c r="A19" t="s">
        <v>61</v>
      </c>
      <c r="B19" s="18">
        <f>B18/(1+Assumptions!B26)^(5-0.5*Assumptions!B32)</f>
        <v>1424655413385.0305</v>
      </c>
    </row>
    <row r="20" spans="1:2" x14ac:dyDescent="0.25">
      <c r="A20" t="s">
        <v>62</v>
      </c>
      <c r="B20" s="18">
        <f>Forecast!B17+B19</f>
        <v>2553132787290.0693</v>
      </c>
    </row>
    <row r="21" spans="1:2" x14ac:dyDescent="0.25">
      <c r="A21" t="s">
        <v>63</v>
      </c>
      <c r="B21" s="18">
        <f>-Assumptions!B30</f>
        <v>-419840000000</v>
      </c>
    </row>
    <row r="22" spans="1:2" x14ac:dyDescent="0.25">
      <c r="A22" t="s">
        <v>64</v>
      </c>
      <c r="B22" s="18">
        <f>B20+B21</f>
        <v>2133292787290.0693</v>
      </c>
    </row>
    <row r="23" spans="1:2" x14ac:dyDescent="0.25">
      <c r="A23" s="19" t="s">
        <v>65</v>
      </c>
      <c r="B23" s="25">
        <f>B22/Assumptions!B31</f>
        <v>117.76178854952013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53.2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307.59784163280557</v>
      </c>
    </row>
    <row r="29" spans="1:2" x14ac:dyDescent="0.25">
      <c r="A29" s="19" t="s">
        <v>73</v>
      </c>
      <c r="B29" s="12">
        <f>B28/B26-1</f>
        <v>4.7819143164061195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0.029655</v>
      </c>
      <c r="B5" s="31">
        <v>566.0794618345174</v>
      </c>
      <c r="C5" s="31">
        <v>751.5551387626318</v>
      </c>
      <c r="D5" s="31">
        <v>1333.6505329637846</v>
      </c>
      <c r="E5" s="31" t="s">
        <v>76</v>
      </c>
      <c r="F5" s="31" t="s">
        <v>76</v>
      </c>
    </row>
    <row r="6" spans="1:6" x14ac:dyDescent="0.25">
      <c r="A6" s="30">
        <v>0.039655</v>
      </c>
      <c r="B6" s="31">
        <v>338.7648732118208</v>
      </c>
      <c r="C6" s="31">
        <v>374.2495089555733</v>
      </c>
      <c r="D6" s="31">
        <v>433.3926774912503</v>
      </c>
      <c r="E6" s="31">
        <v>552.9502557612516</v>
      </c>
      <c r="F6" s="31">
        <v>927.5981075711337</v>
      </c>
    </row>
    <row r="7" spans="1:6" x14ac:dyDescent="0.25">
      <c r="A7" s="30">
        <v>0.049655</v>
      </c>
      <c r="B7" s="31">
        <v>242.26526579097967</v>
      </c>
      <c r="C7" s="31">
        <v>250.90005961612601</v>
      </c>
      <c r="D7" s="32">
        <v>262.72123269761005</v>
      </c>
      <c r="E7" s="31">
        <v>280.1605168515124</v>
      </c>
      <c r="F7" s="31">
        <v>308.96828165042115</v>
      </c>
    </row>
    <row r="8" spans="1:6" x14ac:dyDescent="0.25">
      <c r="A8" s="30">
        <v>0.059655</v>
      </c>
      <c r="B8" s="31">
        <v>188.81985999324948</v>
      </c>
      <c r="C8" s="31">
        <v>189.56456195723152</v>
      </c>
      <c r="D8" s="31">
        <v>190.3092639212135</v>
      </c>
      <c r="E8" s="31">
        <v>191.05396588519545</v>
      </c>
      <c r="F8" s="31">
        <v>191.79866784917746</v>
      </c>
    </row>
    <row r="9" spans="1:6" x14ac:dyDescent="0.25">
      <c r="A9" s="30">
        <v>0.069655</v>
      </c>
      <c r="B9" s="31">
        <v>160.34413363956855</v>
      </c>
      <c r="C9" s="31">
        <v>160.95552669326847</v>
      </c>
      <c r="D9" s="31">
        <v>161.56691974696832</v>
      </c>
      <c r="E9" s="31">
        <v>162.17831280066824</v>
      </c>
      <c r="F9" s="31">
        <v>162.7897058543681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927890000000</v>
      </c>
      <c r="C5" s="18">
        <v>916615000000</v>
      </c>
      <c r="D5" s="18">
        <v>802062000000</v>
      </c>
      <c r="E5" s="18">
        <v>763874000000</v>
      </c>
      <c r="F5" s="8" t="s">
        <v>85</v>
      </c>
    </row>
    <row r="6" spans="1:6" x14ac:dyDescent="0.25">
      <c r="A6" t="s">
        <v>44</v>
      </c>
      <c r="B6" s="18">
        <v>185590000000</v>
      </c>
      <c r="C6" s="18">
        <v>170495000000</v>
      </c>
      <c r="D6" s="18">
        <v>120117000000</v>
      </c>
      <c r="E6" s="18">
        <v>142335000000</v>
      </c>
      <c r="F6" s="8" t="s">
        <v>86</v>
      </c>
    </row>
    <row r="7" spans="1:6" x14ac:dyDescent="0.25">
      <c r="A7" t="s">
        <v>87</v>
      </c>
      <c r="B7" s="18">
        <v>16674000000</v>
      </c>
      <c r="C7" s="18">
        <v>17957000000</v>
      </c>
      <c r="D7" s="18">
        <v>19230000000</v>
      </c>
      <c r="E7" s="18">
        <v>18352000000</v>
      </c>
      <c r="F7" s="8" t="s">
        <v>88</v>
      </c>
    </row>
    <row r="8" spans="1:6" x14ac:dyDescent="0.25">
      <c r="A8" t="s">
        <v>89</v>
      </c>
      <c r="B8" s="18">
        <v>8355000000</v>
      </c>
      <c r="C8" s="18">
        <v>6678000000</v>
      </c>
      <c r="D8" s="18">
        <v>7810000000</v>
      </c>
      <c r="E8" s="18">
        <v>8871000000</v>
      </c>
      <c r="F8" s="8" t="s">
        <v>90</v>
      </c>
    </row>
    <row r="9" spans="1:6" x14ac:dyDescent="0.25">
      <c r="A9" t="s">
        <v>91</v>
      </c>
      <c r="B9" s="18">
        <v>-641740000000</v>
      </c>
      <c r="C9" s="18">
        <v>-362566000000</v>
      </c>
      <c r="D9" s="18">
        <v>-281411000000</v>
      </c>
      <c r="E9" s="18">
        <v>-355006000000</v>
      </c>
      <c r="F9" s="8" t="s">
        <v>92</v>
      </c>
    </row>
    <row r="10" spans="1:6" x14ac:dyDescent="0.25">
      <c r="A10" t="s">
        <v>93</v>
      </c>
      <c r="B10" s="18">
        <v>1438514000000</v>
      </c>
      <c r="C10" s="18">
        <v>1395581000000</v>
      </c>
      <c r="D10" s="18">
        <v>1488109000000</v>
      </c>
      <c r="E10" s="18">
        <v>1482107000000</v>
      </c>
      <c r="F10" s="8" t="s">
        <v>94</v>
      </c>
    </row>
    <row r="11" spans="1:6" x14ac:dyDescent="0.25">
      <c r="A11" t="s">
        <v>95</v>
      </c>
      <c r="B11" s="18">
        <v>1018674000000</v>
      </c>
      <c r="C11" s="18">
        <v>950371000000</v>
      </c>
      <c r="D11" s="18">
        <v>797919000000</v>
      </c>
      <c r="E11" s="18">
        <v>747658000000</v>
      </c>
      <c r="F11" s="8" t="s">
        <v>96</v>
      </c>
    </row>
    <row r="12" spans="1:6" x14ac:dyDescent="0.25">
      <c r="A12" t="s">
        <v>32</v>
      </c>
      <c r="B12" s="34">
        <v>18115322581</v>
      </c>
      <c r="C12" s="34">
        <v>18112589413</v>
      </c>
      <c r="D12" s="34">
        <v>18072784810</v>
      </c>
      <c r="E12" s="34">
        <v>17704625199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54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2026-09-19T00:09:47Z</dcterms:modified>
</cp:coreProperties>
</file>